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ver" state="visible" r:id="rId4"/>
    <sheet sheetId="2" name="Summary" state="visible" r:id="rId5"/>
    <sheet sheetId="3" name="Assumptions" state="visible" r:id="rId6"/>
    <sheet sheetId="4" name="DCF model" state="visible" r:id="rId7"/>
    <sheet sheetId="5" name="Other claims" state="visible" r:id="rId8"/>
    <sheet sheetId="6" name="Financials" state="visible" r:id="rId9"/>
    <sheet sheetId="7" name="Segments" state="visible" r:id="rId10"/>
    <sheet sheetId="8" name="Multiples" state="visible" r:id="rId11"/>
    <sheet sheetId="9" name="Cost of equity" state="visible" r:id="rId12"/>
    <sheet sheetId="10" name="Scenarios" state="visible" r:id="rId13"/>
    <sheet sheetId="11" name="Sensitivity" state="visible" r:id="rId14"/>
    <sheet sheetId="12" name="Reverse DCF" state="visible" r:id="rId15"/>
  </sheets>
  <calcPr calcId="171027"/>
</workbook>
</file>

<file path=xl/sharedStrings.xml><?xml version="1.0" encoding="utf-8"?>
<sst xmlns="http://schemas.openxmlformats.org/spreadsheetml/2006/main" count="336" uniqueCount="253">
  <si>
    <t>ValuationBot.ai</t>
  </si>
  <si>
    <t>Palo Alto Networks, Inc. (PANW)</t>
  </si>
  <si>
    <t>Analysis ID: c04e6f56-e38d-4289-987b-c95f8c47dcdc</t>
  </si>
  <si>
    <t>Created: Feb 16, 2026 05:00am</t>
  </si>
  <si>
    <t>User: Edmund Simms</t>
  </si>
  <si>
    <t>Email: edmund.simms@gmail.com</t>
  </si>
  <si>
    <t>View this analysis online</t>
  </si>
  <si>
    <t>© 2025–2026 Lyceum Analytics Ltd. ValuationBot is a trading name of Lyceum Analytics Ltd.</t>
  </si>
  <si>
    <t>Not financial advice. Use at your own risk.</t>
  </si>
  <si>
    <t>Summary</t>
  </si>
  <si>
    <t>(all financial data in US$ millions unless stated otherwise)</t>
  </si>
  <si>
    <t>Company</t>
  </si>
  <si>
    <t>Palo Alto Networks, Inc.</t>
  </si>
  <si>
    <t>Ticker</t>
  </si>
  <si>
    <t>PANW</t>
  </si>
  <si>
    <t>Created</t>
  </si>
  <si>
    <t>Feb 16, 2026 05:00am</t>
  </si>
  <si>
    <t>Current price</t>
  </si>
  <si>
    <t>Estimated value</t>
  </si>
  <si>
    <t>Upside</t>
  </si>
  <si>
    <t>Expected IRR</t>
  </si>
  <si>
    <t>Currency</t>
  </si>
  <si>
    <t>USD</t>
  </si>
  <si>
    <t>Valuation date</t>
  </si>
  <si>
    <t>Latest financials date</t>
  </si>
  <si>
    <t>Latest filing</t>
  </si>
  <si>
    <t>10-Q Nov 20, 2025</t>
  </si>
  <si>
    <t>Industry</t>
  </si>
  <si>
    <t>Software - Infrastructure</t>
  </si>
  <si>
    <t>Sector</t>
  </si>
  <si>
    <t>Technology</t>
  </si>
  <si>
    <t>Recommendation</t>
  </si>
  <si>
    <t>Strong Sell</t>
  </si>
  <si>
    <t>Exchange</t>
  </si>
  <si>
    <t>NASDAQ</t>
  </si>
  <si>
    <t>Market cap</t>
  </si>
  <si>
    <t>Share count</t>
  </si>
  <si>
    <t>Assumptions</t>
  </si>
  <si>
    <t>Valuation story</t>
  </si>
  <si>
    <t>Palo Alto Networks sits in late growth and moves towards maturity. It keeps winning large enterprises by selling an integrated security platform, with most revenue coming from recurring subscriptions and support. Platformisation and selective acquisitions broaden the product set and lift customer lifetime value, but they also bring integration, compliance, and pricing risks that slow margin expansion in the near term. The base case assumes steady demand for cybersecurity, moderate share gains, and gradual operating leverage as the firm scales.</t>
  </si>
  <si>
    <t>Revenue growth rate</t>
  </si>
  <si>
    <t>I treat Palo Alto Networks as a late growth firm moving into maturity. The analyst revenue path rises from about $9.2B to about $15.1B over several years, which implies a low‑teens CAGR, so I set a slightly lower base-case rate to allow for tougher competition, larger scale, and some integration drag from acquisitions. This rate still fits a subscription-led security platform with strong renewal and upsell dynamics.</t>
  </si>
  <si>
    <t>Stable growth rate</t>
  </si>
  <si>
    <t>I set terminal growth just below the risk-free rate to respect the hard constraint and reflect long-run nominal economic growth. Cybersecurity stays essential, but a firm of this scale should not outgrow the economy forever in a base case. The subscription mix supports durability, not perpetual high growth.</t>
  </si>
  <si>
    <t>Years to stability</t>
  </si>
  <si>
    <t>I use a 10-year glide path because the firm still has room to expand the platform across cloud, identity, and security operations, but growth should fade as the base gets larger. With Y=10, the initial growth rate acts like a 5-year CAGR and stays consistent with the analyst revenue trajectory, while allowing a second phase of tapering towards maturity. This also matches a business with recurring revenue and ongoing consolidation in a competitive market.</t>
  </si>
  <si>
    <t>Sales-to-equity ratio</t>
  </si>
  <si>
    <t>I keep sales to equity near the industry middle and below the firm’s earlier higher levels because acquisitions and capitalised intangibles raise the equity base. The platform strategy needs sustained investment in R&amp;D and go-to-market, so capital efficiency should look solid but not extreme. This sits close to the firm’s recent range and the sector’s typical levels.</t>
  </si>
  <si>
    <t>Stable net profit margin</t>
  </si>
  <si>
    <t>I target a stable margin near the upper industry quartiles but below the firm’s unusually high spike, because competitive pressure, cloud hosting costs, and ongoing investment should cap long-run profitability. The subscription and support mix supports strong operating leverage, but integration and compliance costs limit how far margins can rise in a base case. This stable level also stays consistent with a mature software infrastructure leader rather than a hyper-profitable niche.</t>
  </si>
  <si>
    <t>FY+1 net profit margin</t>
  </si>
  <si>
    <t>I set next-year margin slightly below the current adjusted level because the firm will likely keep investing in product, sales capacity, and integration work for recent deals. Analysts’ medium-term profit expectations rise with scale, but their margins are on an expensed basis, so I anchor to the adjusted margin trend and assume only modest near-term expansion. This creates a realistic bridge into the longer-run stable margin rather than a jump.</t>
  </si>
  <si>
    <t>Margin convergence</t>
  </si>
  <si>
    <t>I assume margins take most of the high-growth phase to settle because platformisation benefits arrive gradually and integration costs can linger. Competitive pricing pressure and regulatory compliance also slow the pace of steady-state optimisation. Six years gives enough time for operating leverage to show up without assuming a smooth, immediate uplift.</t>
  </si>
  <si>
    <t>Stable ROE</t>
  </si>
  <si>
    <t>I set stable ROE above the stable cost of equity to reflect a durable franchise with switching costs and recurring revenue. It also aligns with industry comparables around the 60th to 70th percentile rather than assuming the firm sustains peak ROE indefinitely. This fits a mature platform business that still earns economic profits but faces strong rivals.</t>
  </si>
  <si>
    <t>Credit rating</t>
  </si>
  <si>
    <t>Baa2/BBB</t>
  </si>
  <si>
    <t>I assign an investment-grade rating because the firm is large, generates strong cash flow, and sells mission-critical subscriptions with good visibility. Acquisition activity adds leverage and execution risk, but the recurring revenue base and scale should keep default risk moderate in a base case. BBB also matches a firm that may use debt opportunistically while staying financially flexible.</t>
  </si>
  <si>
    <t>Recovery ratio</t>
  </si>
  <si>
    <t>I assume a mid-range recovery because value sits in software, customers, and intangibles, which are harder to realise in distress than hard assets. The firm still has meaningful enterprise contracts and an installed base, which supports some recoverable value. A 50% ratio reflects this balance in a base-case default scenario.</t>
  </si>
  <si>
    <t>DCF model</t>
  </si>
  <si>
    <t/>
  </si>
  <si>
    <t>Base year</t>
  </si>
  <si>
    <t>Revenue</t>
  </si>
  <si>
    <t>Growth, year-on-year, %</t>
  </si>
  <si>
    <t>Less: All expenses</t>
  </si>
  <si>
    <t>Net profit to common equity</t>
  </si>
  <si>
    <t>Net profit margin, %</t>
  </si>
  <si>
    <t>Less: Net reinvestment</t>
  </si>
  <si>
    <t>Invested common equity</t>
  </si>
  <si>
    <t>Return on common equity, %</t>
  </si>
  <si>
    <t>Sales to equity ratio, x</t>
  </si>
  <si>
    <t>Free cash flow to equity</t>
  </si>
  <si>
    <t>Plus: Stable value</t>
  </si>
  <si>
    <t>Free cash flows to be discounted</t>
  </si>
  <si>
    <t>Multiply: Discount factor</t>
  </si>
  <si>
    <t>Cost of equity, %</t>
  </si>
  <si>
    <t>Present value of free cash flows to equity</t>
  </si>
  <si>
    <t>Sum of PV of FCFE</t>
  </si>
  <si>
    <t>Less: Distress adjustments</t>
  </si>
  <si>
    <t>Distress likelihood, %</t>
  </si>
  <si>
    <t>Recovery ratio, %</t>
  </si>
  <si>
    <t>Adjusted equity value</t>
  </si>
  <si>
    <t>Less: Employee options</t>
  </si>
  <si>
    <t>Less: Unfunded liabilities</t>
  </si>
  <si>
    <t>Value of common shareholders' equity</t>
  </si>
  <si>
    <t>Divide: Share count</t>
  </si>
  <si>
    <t>Equity value per share</t>
  </si>
  <si>
    <t>Other claims</t>
  </si>
  <si>
    <t>Employee stock options</t>
  </si>
  <si>
    <t>Number</t>
  </si>
  <si>
    <t>Strike price</t>
  </si>
  <si>
    <t>Maturity</t>
  </si>
  <si>
    <t>Assumed volatility</t>
  </si>
  <si>
    <t>Assumed dividend yield</t>
  </si>
  <si>
    <t>Value</t>
  </si>
  <si>
    <t>Unfunded liabilities</t>
  </si>
  <si>
    <t>Item</t>
  </si>
  <si>
    <t>Explanation</t>
  </si>
  <si>
    <t>Pension Obligations</t>
  </si>
  <si>
    <t>Post Retirement Benefits</t>
  </si>
  <si>
    <t>Healthcare Liabilities</t>
  </si>
  <si>
    <t>Deferred Compensation</t>
  </si>
  <si>
    <t>Lawsuit Contingencies</t>
  </si>
  <si>
    <t>I used the accrued litigation liability of $145.6m for the Centripetal Networks judgment and estimated interest as of July 31st 2025. I treated it as 100% probable because the company recorded an accrual, so the expected value is $145.6m.</t>
  </si>
  <si>
    <t>Environmental Liabilities</t>
  </si>
  <si>
    <t>Other</t>
  </si>
  <si>
    <t>I used the contingent consideration obligation of $513.6m recorded on the balance sheet as of July 31st 2025 for the IBM QRadar asset acquisition. I treated it as 100% probable because it is a recognised liability measured at fair value, so the expected value is $513.6m.</t>
  </si>
  <si>
    <t>Financials</t>
  </si>
  <si>
    <t>Fiscal Year</t>
  </si>
  <si>
    <t>YoY Growth</t>
  </si>
  <si>
    <t>Adjusted Net Profit</t>
  </si>
  <si>
    <t>Margin</t>
  </si>
  <si>
    <t>Reinvestment</t>
  </si>
  <si>
    <t>FCFE</t>
  </si>
  <si>
    <t>Adjusted Equity</t>
  </si>
  <si>
    <t>Return on Equity (ROE)</t>
  </si>
  <si>
    <t>Sales to Equity Ratio</t>
  </si>
  <si>
    <t>Segments</t>
  </si>
  <si>
    <t>Geographic segments</t>
  </si>
  <si>
    <t>Segment</t>
  </si>
  <si>
    <t>FY2025</t>
  </si>
  <si>
    <t>FY2024</t>
  </si>
  <si>
    <t>FY2023</t>
  </si>
  <si>
    <t>Americas</t>
  </si>
  <si>
    <t>Asia Pacific</t>
  </si>
  <si>
    <t>EMEA</t>
  </si>
  <si>
    <t>Total</t>
  </si>
  <si>
    <t>Operating segments</t>
  </si>
  <si>
    <t>Product</t>
  </si>
  <si>
    <t>Subscription</t>
  </si>
  <si>
    <t>Support</t>
  </si>
  <si>
    <t>Multiples</t>
  </si>
  <si>
    <t>Metric</t>
  </si>
  <si>
    <t>Company multiple</t>
  </si>
  <si>
    <t>Percentile of industry multiples</t>
  </si>
  <si>
    <t>Price-to-sales</t>
  </si>
  <si>
    <t>12.6x</t>
  </si>
  <si>
    <t>82th</t>
  </si>
  <si>
    <t>Price-to-earnings</t>
  </si>
  <si>
    <t>56.8x</t>
  </si>
  <si>
    <t>70th</t>
  </si>
  <si>
    <t>Price-to-book</t>
  </si>
  <si>
    <t>7.1x</t>
  </si>
  <si>
    <t>87th</t>
  </si>
  <si>
    <t>Values show the company's implied share price if it traded at the peer multiple for the listed percentile.</t>
  </si>
  <si>
    <t>Implied prices</t>
  </si>
  <si>
    <t>P10</t>
  </si>
  <si>
    <t>P25</t>
  </si>
  <si>
    <t>P50</t>
  </si>
  <si>
    <t>P75</t>
  </si>
  <si>
    <t>P90</t>
  </si>
  <si>
    <t>Cost of equity</t>
  </si>
  <si>
    <t>Risk-free rate calculation</t>
  </si>
  <si>
    <t>Ten-year bond yield</t>
  </si>
  <si>
    <t>Bond yield country</t>
  </si>
  <si>
    <t>United States of America</t>
  </si>
  <si>
    <t>Default spread</t>
  </si>
  <si>
    <t>Risk-free rate</t>
  </si>
  <si>
    <t>Beta calculation</t>
  </si>
  <si>
    <t>Sales</t>
  </si>
  <si>
    <t>EV/Sales</t>
  </si>
  <si>
    <t>Weight</t>
  </si>
  <si>
    <t>Business beta</t>
  </si>
  <si>
    <t>Debt-to-equity ratio</t>
  </si>
  <si>
    <t>Cash-to-firm ratio</t>
  </si>
  <si>
    <t>Marginal tax rate</t>
  </si>
  <si>
    <t>Equity beta</t>
  </si>
  <si>
    <t>Beta selection notes</t>
  </si>
  <si>
    <t>Security &amp; Protection Services (40th percentile of the industry)</t>
  </si>
  <si>
    <t>Support revenue is typically contracted and renewal-based, making demand less discretionary and less sensitive to economic swings. While there are fixed personnel costs, delivery is more scalable and stable than product development, so risk should sit modestly below the industry median.</t>
  </si>
  <si>
    <t>Software - Application (50th percentile of the industry)</t>
  </si>
  <si>
    <t>Subscription cybersecurity is generally sticky and essential, which reduces pure demand cyclicality versus one-off product sales. However, the segment still carries material operating leverage from recurring R&amp;D and sales costs, so a middle-of-the-pack risk level is most appropriate.</t>
  </si>
  <si>
    <t>Software - Application (60th percentile of the industry)</t>
  </si>
  <si>
    <t>Cybersecurity products (hardware appliances and related software) tend to be mission-critical but can still be deferred in weaker IT spending cycles, and sales can be more deal-driven and competitive. The cost base is meaningfully fixed (engineering and go-to-market), so earnings can swing more than revenues, supporting a slightly above-median beta.</t>
  </si>
  <si>
    <t>Equity risk premium (ERP) calculation</t>
  </si>
  <si>
    <t>Country</t>
  </si>
  <si>
    <t>ERP</t>
  </si>
  <si>
    <t>Tax rate</t>
  </si>
  <si>
    <t>Europe, Middle East, and Africa (EMEA)</t>
  </si>
  <si>
    <t>Asia-Pacific</t>
  </si>
  <si>
    <t>Company equity risk premium</t>
  </si>
  <si>
    <t>Cost of equity calculation</t>
  </si>
  <si>
    <t>Plus: Equity beta × Equity risk premium</t>
  </si>
  <si>
    <t>Equity risk premium</t>
  </si>
  <si>
    <t>Stable cost of equity calculation</t>
  </si>
  <si>
    <t>Plus: Stable beta (clamped) × Equity risk premium</t>
  </si>
  <si>
    <t>Stable beta (clamped)</t>
  </si>
  <si>
    <t>Stable cost of equity</t>
  </si>
  <si>
    <t>Scenarios</t>
  </si>
  <si>
    <t>Case</t>
  </si>
  <si>
    <t>Per Share</t>
  </si>
  <si>
    <t>Upside %</t>
  </si>
  <si>
    <t>base</t>
  </si>
  <si>
    <t>bear</t>
  </si>
  <si>
    <t>bull</t>
  </si>
  <si>
    <t>Bull-case scenario</t>
  </si>
  <si>
    <t>Value per share</t>
  </si>
  <si>
    <t>Palo Alto Networks sits in late growth and extends its platform phase rather than moving quickly into maturity. It turns platformisation into larger multi-year deals and higher net revenue retention, with identity security and observability adding new spending pools and stronger cross-sell. It keeps winning in cloud and hybrid environments because the integrated platform lowers customer complexity and improves outcomes, which supports pricing and renewal strength. This bull case stays plausible because recurring subscriptions and support already dominate revenue, and scale can still drive operating leverage if integrations run well.</t>
  </si>
  <si>
    <t>Value driver</t>
  </si>
  <si>
    <t>I treat this as a late-growth platform firm that turns recent platform deals and adjacent acquisitions into faster share gains. Analysts already imply a high single to low teens multi-year path from about $9.2B to about $16.97B over several years, and the bull case adds stronger cross-sell, higher renewal uplift, and better international execution. A mid-teens rate stays ambitious but still plausible at PANW’s scale because subscriptions and support dominate revenue and expand with customer footprint.</t>
  </si>
  <si>
    <t>I keep terminal growth just below the risk-free rate to meet the hard constraint and reflect long-run nominal growth. The bull case supports a slightly higher terminal rate than base because PANW sustains a larger recurring revenue base and keeps modest share gains even in maturity. It still cannot outgrow the wider economy forever.</t>
  </si>
  <si>
    <t>I extend the high-growth phase because platformisation and the identity and observability expansion can compound for longer than in the base case. With Y=12, the 6-year initial growth window needs to match the consensus trajectory, and a mid-teens CAGR remains credible if acquisitions scale smoothly and large platform deals keep rising. The longer runway also fits a firm that still consolidates categories rather than a fully mature vendor.</t>
  </si>
  <si>
    <t>I lift sales to equity because the bull case assumes PANW converts platform scale into better capital efficiency, with more revenue growth coming from software pull-through rather than balance-sheet heavy investment. The ratio still stays within the industry range and below the very high historical peak because acquisitions and capitalised intangibles continue to expand the equity base. This keeps reinvestment needs realistic while allowing faster compounding.</t>
  </si>
  <si>
    <t>I set a higher stable margin because subscription mix, automation, and platform bundling improve pricing power and reduce servicing cost per $ of ARR. This level sits around the industry’s upper percentiles and below the firm’s one-off adjusted spike, so it stays plausible. The bull case assumes integration synergies arrive and cloud hosting costs improve with scale.</t>
  </si>
  <si>
    <t>I set next-year margin slightly above the recent normalised adjusted level because operating leverage shows through as revenue grows and the mix shifts further to subscriptions and support. I do not assume a sharp jump because integration and go-to-market spend remain heavy in the near term, and analysts’ net income margins sit on an expensed basis. This creates a credible bridge towards the higher stable margin as synergies and scale build.</t>
  </si>
  <si>
    <t>I allow a longer glide path because the bull case relies on executing integrations while also scaling internationally and in new platforms. Margins can expand, but they do so gradually as the firm absorbs deal costs, optimises cloud delivery, and standardises sales motions. Seven years fits a sustained platform compounding story without assuming instant perfection.</t>
  </si>
  <si>
    <t>I set stable ROE well above the stable cost of equity because the bull case assumes a durable moat from platform breadth, switching costs, and high renewal revenue. This sits near the upper end of industry outcomes but below extreme outliers, so it stays plausible. Higher margins and better capital efficiency support the uplift.</t>
  </si>
  <si>
    <t>Baa1/BBB+</t>
  </si>
  <si>
    <t>I move the rating up one notch because the bull case assumes strong recurring cash flow, successful integration, and restrained net leverage despite acquisitions. The business remains mission-critical and subscription-led, which improves visibility and lowers default risk. The rating stays investment grade because execution and regulatory risks do not disappear.</t>
  </si>
  <si>
    <t>I raise recovery slightly because a larger installed base and deeper enterprise contracts increase the value of the customer book in distress. Software and intangibles still limit recoverability versus asset-heavy firms, so I keep the uplift modest. This matches a stronger bull-case franchise without assuming hard-asset style recoveries.</t>
  </si>
  <si>
    <t>Bear-case scenario</t>
  </si>
  <si>
    <t>Palo Alto Networks moves from late growth into early maturity faster than expected. Competition tightens in cloud and platform security, so the firm cuts prices and pays up on channel incentives to defend renewals and win large deals. Integration work from acquisitions consumes management time and raises costs, while regulators and cross-border rules slow international expansion. The business stays relevant because security remains critical, but the bear case assumes weaker net expansion rates and slower operating leverage than the market expects.</t>
  </si>
  <si>
    <t>I treat this as a late-growth firm that slips into early maturity faster because pricing pressure rises and platform deals take longer to close. The analyst revenue path implies a low-teens multi-year trend in a normal run, but the bear case assumes weaker renewal expansion and slower international growth, so a mid-to-high single digit Y/2-year CAGR looks more probable.</t>
  </si>
  <si>
    <t>I keep terminal growth just below the 3.922% risk-free rate to meet the hard constraint and reflect long-run nominal economic growth. In the bear case the firm loses share in some sub-markets and grows more like the economy once it matures, so I do not assume any lasting outperformance.</t>
  </si>
  <si>
    <t>I shorten the high-growth phase because the company already operates at scale and the bear case brings earlier saturation in core enterprise spend. With Y=8, the initial growth rate acts like a 4-year CAGR, which fits a scenario where the consensus trajectory softens after the near-term guided step-up and then fades sooner than in the base case.</t>
  </si>
  <si>
    <t>I push capital efficiency down because the bear case assumes heavier reinvestment and more balance sheet build from integration work, deferred product rationalisation, and capitalised intangibles. This also matches the firm’s recent adjusted level around the mid-0.5s and sits below industry medians, which fits a more demanding growth and compliance backdrop.</t>
  </si>
  <si>
    <t>I set a lower stable margin because price discounting, higher cloud delivery costs, and compliance and litigation drag limit operating leverage. This level still sits above the industry median because the business keeps a large recurring base, but the bear case assumes the moat looks less sticky than the base case.</t>
  </si>
  <si>
    <t>I set FY+1 margin below the current adjusted level because integration, channel incentives, and product investment bite before scale benefits show up. Analysts’ net income margins look strong on an expensed basis in outer years, but my adjusted view keeps more cost in the asset base and assumes less near-term efficiency in a tougher demand environment.</t>
  </si>
  <si>
    <t>I assume a quicker move to the lower steady-state margin because the firm cannot keep spending at peak levels if growth slows. The bear case also forces earlier pricing resets, so the margin settles sooner, but at a weaker level than in the base case.</t>
  </si>
  <si>
    <t>I set stable ROE only modestly above the stable cost of equity because competitive intensity and slower growth reduce excess returns. This stays close to the industry middle and below the firm’s stronger historical outcomes, which fits a mature security platform with less pricing power.</t>
  </si>
  <si>
    <t>Baa3/BBB-</t>
  </si>
  <si>
    <t>I notch the rating down within investment grade because the bear case assumes lower growth, more integration risk from acquisitions, and less predictable margin delivery. The firm remains large with recurring revenue, but weaker coverage and execution risk justify a more cautious BBB- view.</t>
  </si>
  <si>
    <t>I lower recovery because more value sits in customer relationships and capitalised intangibles, which prove harder to realise in distress when churn rises. The installed base still supports some recoverable value, but the bear case assumes more contract repricing and faster competitive takeout.</t>
  </si>
  <si>
    <t>Sensitivity</t>
  </si>
  <si>
    <t xml:space="preserve">Stable growth rate →
↓ Cost of equity</t>
  </si>
  <si>
    <t>Note: Green cells indicate scenarios where the calculated intrinsic value per share is above the current market price, suggesting potential undervaluation. Red cells indicate scenarios where the intrinsic value is below the market price, suggesting potential overvaluation.</t>
  </si>
  <si>
    <t>Reverse DCF</t>
  </si>
  <si>
    <t>Driver</t>
  </si>
  <si>
    <t>Base Value</t>
  </si>
  <si>
    <t>Market Implied</t>
  </si>
  <si>
    <t>Difference</t>
  </si>
  <si>
    <t>Monte-Carlo simulation percentile distribution</t>
  </si>
  <si>
    <t>Percentile</t>
  </si>
  <si>
    <t>Price</t>
  </si>
  <si>
    <t>P0</t>
  </si>
  <si>
    <t>P5</t>
  </si>
  <si>
    <t>P15</t>
  </si>
  <si>
    <t>P20</t>
  </si>
  <si>
    <t>P30</t>
  </si>
  <si>
    <t>P35</t>
  </si>
  <si>
    <t>P40</t>
  </si>
  <si>
    <t>P45</t>
  </si>
  <si>
    <t>P55</t>
  </si>
  <si>
    <t>P60</t>
  </si>
  <si>
    <t>P65</t>
  </si>
  <si>
    <t>P70</t>
  </si>
  <si>
    <t>P80</t>
  </si>
  <si>
    <t>P85</t>
  </si>
  <si>
    <t>P95</t>
  </si>
  <si>
    <t>P100</t>
  </si>
  <si>
    <t>The Monte Carlo distribution maps simulated prices to percentiles. Recommendations follow these: below the 10th is a Strong Buy, below the 25th a Buy, the 25th–75th a Hold, the 75th–90th a Sell, and anything higher a Strong Sell. Green shading indicates buy zones, gray indicates hold, and red indicates sell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</si>
</sst>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US$&quot;#,##0.00"/>
    <numFmt numFmtId="165" formatCode="0.0%"/>
    <numFmt numFmtId="166" formatCode="yyyy-mm-dd"/>
    <numFmt numFmtId="167" formatCode="#,##0.0"/>
    <numFmt numFmtId="168" formatCode="0.0"/>
    <numFmt numFmtId="169" formatCode="0.000"/>
    <numFmt numFmtId="170" formatCode="&quot;US$&quot;#,##0"/>
    <numFmt numFmtId="171" formatCode="#0.0"/>
  </numFmts>
  <fonts count="19" x14ac:knownFonts="1">
    <font>
      <color theme="1"/>
      <family val="2"/>
      <scheme val="minor"/>
      <sz val="11"/>
      <name val="Calibri"/>
    </font>
    <font>
      <b/>
      <color rgb="FF0284c7"/>
      <sz val="32"/>
    </font>
    <font>
      <b/>
      <color rgb="FF111827"/>
      <sz val="26"/>
    </font>
    <font>
      <color rgb="FF111827"/>
      <sz val="12"/>
    </font>
    <font>
      <u/>
      <color rgb="FF0284c7"/>
      <sz val="12"/>
    </font>
    <font>
      <color rgb="FF111827"/>
      <sz val="10"/>
    </font>
    <font>
      <b/>
      <color rgb="FFFFFFFF"/>
      <sz val="26"/>
    </font>
    <font>
      <sz val="12"/>
    </font>
    <font>
      <color rgb="FF1F4E79"/>
      <sz val="12"/>
    </font>
    <font>
      <b/>
      <u/>
    </font>
    <font>
      <b/>
      <u/>
      <sz val="12"/>
    </font>
    <font>
      <b/>
      <sz val="12"/>
    </font>
    <font>
      <b/>
      <color rgb="FF000000"/>
      <sz val="12"/>
    </font>
    <font>
      <color rgb="FF000000"/>
      <sz val="12"/>
    </font>
    <font>
      <b/>
    </font>
    <font>
      <b/>
      <color rgb="FF1F4E79"/>
      <sz val="12"/>
    </font>
    <font>
      <i/>
    </font>
    <font>
      <i/>
      <sz val="12"/>
    </font>
    <font>
      <sz val="10"/>
    </font>
  </fonts>
  <fills count="11">
    <fill>
      <patternFill patternType="none"/>
    </fill>
    <fill>
      <patternFill patternType="gray125"/>
    </fill>
    <fill>
      <patternFill patternType="solid">
        <fgColor rgb="FF0284c7"/>
      </patternFill>
    </fill>
    <fill>
      <patternFill patternType="solid">
        <fgColor rgb="FFFFFDE6"/>
      </patternFill>
    </fill>
    <fill>
      <patternFill patternType="solid">
        <fgColor rgb="FFFCE5CD"/>
      </patternFill>
    </fill>
    <fill>
      <patternFill patternType="solid">
        <fgColor rgb="FFFFE6E6"/>
      </patternFill>
    </fill>
    <fill>
      <patternFill patternType="solid">
        <fgColor rgb="FF198754"/>
      </patternFill>
    </fill>
    <fill>
      <patternFill patternType="solid">
        <fgColor rgb="FFD1E7DD"/>
      </patternFill>
    </fill>
    <fill>
      <patternFill patternType="solid">
        <fgColor rgb="FFE5E7EB"/>
      </patternFill>
    </fill>
    <fill>
      <patternFill patternType="solid">
        <fgColor rgb="FFF8D7DA"/>
      </patternFill>
    </fill>
    <fill>
      <patternFill patternType="solid">
        <fgColor rgb="FFDC3545"/>
      </patternFill>
    </fill>
  </fills>
  <borders count="5">
    <border>
      <left/>
      <right/>
      <top/>
      <bottom/>
      <diagonal/>
    </border>
    <border>
      <left/>
      <right/>
      <top/>
      <bottom style="thin">
        <color rgb="FF0284c7"/>
      </bottom>
      <diagonal/>
    </border>
    <border>
      <left style="thin">
        <color rgb="FF000000"/>
      </left>
      <right style="thin">
        <color rgb="FF000000"/>
      </right>
      <top style="thin">
        <color rgb="FF000000"/>
      </top>
      <bottom style="thin">
        <color rgb="FF000000"/>
      </bottom>
      <diagonal/>
    </border>
    <border>
      <left/>
      <right/>
      <top/>
      <bottom style="thin"/>
      <diagonal/>
    </border>
    <border>
      <left/>
      <right style="thin"/>
      <top/>
      <bottom/>
      <diagonal/>
    </border>
  </borders>
  <cellStyleXfs count="1">
    <xf numFmtId="0" fontId="0" fillId="0" borderId="0"/>
  </cellStyleXfs>
  <cellXfs count="76">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xf>
    <xf numFmtId="0" fontId="0" fillId="0" borderId="0" xfId="0" applyAlignment="1">
      <alignment horizontal="right"/>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6" fillId="2" borderId="1" xfId="0" applyFont="1" applyFill="1" applyBorder="1" applyAlignment="1">
      <alignment horizontal="right"/>
    </xf>
    <xf numFmtId="0" fontId="7" fillId="0" borderId="0" xfId="0" applyFont="1" applyAlignment="1">
      <alignment horizontal="left"/>
    </xf>
    <xf numFmtId="0" fontId="7" fillId="0" borderId="0" xfId="0" applyFont="1" applyAlignment="1">
      <alignment horizontal="right"/>
    </xf>
    <xf numFmtId="164" fontId="8" fillId="0" borderId="0" xfId="0" applyNumberFormat="1" applyFont="1" applyAlignment="1">
      <alignment horizontal="right"/>
    </xf>
    <xf numFmtId="165" fontId="8" fillId="0" borderId="0" xfId="0" applyNumberFormat="1" applyFont="1" applyAlignment="1">
      <alignment horizontal="right"/>
    </xf>
    <xf numFmtId="166" fontId="7"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left"/>
    </xf>
    <xf numFmtId="165" fontId="8" fillId="3" borderId="2" xfId="0" applyNumberFormat="1" applyFont="1" applyFill="1" applyBorder="1" applyAlignment="1">
      <alignment horizontal="right"/>
    </xf>
    <xf numFmtId="167" fontId="8" fillId="3" borderId="2" xfId="0" applyNumberFormat="1" applyFont="1" applyFill="1" applyBorder="1" applyAlignment="1">
      <alignment horizontal="right"/>
    </xf>
    <xf numFmtId="0" fontId="11" fillId="0" borderId="3" xfId="0" applyFont="1" applyBorder="1" applyAlignment="1">
      <alignment horizontal="left"/>
    </xf>
    <xf numFmtId="0" fontId="11" fillId="0" borderId="3" xfId="0" applyFont="1" applyBorder="1" applyAlignment="1">
      <alignment horizontal="right"/>
    </xf>
    <xf numFmtId="0" fontId="12" fillId="0" borderId="3" xfId="0" applyFont="1" applyBorder="1" applyAlignment="1">
      <alignment horizontal="right"/>
    </xf>
    <xf numFmtId="3" fontId="13" fillId="0" borderId="0" xfId="0" applyNumberFormat="1" applyFont="1" applyAlignment="1">
      <alignment horizontal="right"/>
    </xf>
    <xf numFmtId="165" fontId="13" fillId="0" borderId="0" xfId="0" applyNumberFormat="1" applyFont="1" applyAlignment="1">
      <alignment horizontal="right"/>
    </xf>
    <xf numFmtId="168" fontId="13" fillId="0" borderId="0" xfId="0" applyNumberFormat="1" applyFont="1" applyAlignment="1">
      <alignment horizontal="right"/>
    </xf>
    <xf numFmtId="169" fontId="13" fillId="0" borderId="0" xfId="0" applyNumberFormat="1" applyFont="1" applyAlignment="1">
      <alignment horizontal="right"/>
    </xf>
    <xf numFmtId="3" fontId="8" fillId="0" borderId="0" xfId="0" applyNumberFormat="1" applyFont="1" applyAlignment="1">
      <alignment horizontal="right"/>
    </xf>
    <xf numFmtId="167" fontId="13" fillId="0" borderId="0" xfId="0" applyNumberFormat="1" applyFont="1" applyAlignment="1">
      <alignment horizontal="right"/>
    </xf>
    <xf numFmtId="164" fontId="13" fillId="4" borderId="0" xfId="0" applyNumberFormat="1" applyFont="1" applyFill="1" applyAlignment="1">
      <alignment horizontal="right"/>
    </xf>
    <xf numFmtId="0" fontId="10" fillId="0" borderId="0" xfId="0" applyFont="1" applyAlignment="1">
      <alignment horizontal="right"/>
    </xf>
    <xf numFmtId="0" fontId="14" fillId="0" borderId="0" xfId="0" applyFont="1"/>
    <xf numFmtId="3" fontId="8" fillId="0" borderId="0" xfId="0" applyNumberFormat="1" applyFont="1" applyAlignment="1">
      <alignment horizontal="left"/>
    </xf>
    <xf numFmtId="1" fontId="8" fillId="0" borderId="0" xfId="0" applyNumberFormat="1" applyFont="1" applyAlignment="1">
      <alignment horizontal="left"/>
    </xf>
    <xf numFmtId="164" fontId="7" fillId="0" borderId="0" xfId="0" applyNumberFormat="1" applyFont="1" applyAlignment="1">
      <alignment horizontal="right"/>
    </xf>
    <xf numFmtId="0" fontId="11" fillId="0" borderId="0" xfId="0" applyFont="1" applyAlignment="1">
      <alignment horizontal="right"/>
    </xf>
    <xf numFmtId="1" fontId="15" fillId="0" borderId="3" xfId="0" applyNumberFormat="1" applyFont="1" applyBorder="1" applyAlignment="1">
      <alignment horizontal="right"/>
    </xf>
    <xf numFmtId="165" fontId="0" fillId="0" borderId="0" xfId="0" applyNumberFormat="1" applyAlignment="1">
      <alignment horizontal="right"/>
    </xf>
    <xf numFmtId="165" fontId="6" fillId="2" borderId="1" xfId="0" applyNumberFormat="1" applyFont="1" applyFill="1" applyBorder="1" applyAlignment="1">
      <alignment horizontal="right"/>
    </xf>
    <xf numFmtId="165" fontId="7" fillId="0" borderId="0" xfId="0" applyNumberFormat="1" applyFont="1" applyAlignment="1">
      <alignment horizontal="right"/>
    </xf>
    <xf numFmtId="165" fontId="11" fillId="0" borderId="3" xfId="0" applyNumberFormat="1" applyFont="1" applyBorder="1" applyAlignment="1">
      <alignment horizontal="right"/>
    </xf>
    <xf numFmtId="0" fontId="11" fillId="0" borderId="0" xfId="0" applyFont="1" applyAlignment="1">
      <alignment horizontal="left"/>
    </xf>
    <xf numFmtId="0" fontId="16" fillId="0" borderId="0" xfId="0" applyFont="1"/>
    <xf numFmtId="0" fontId="17" fillId="0" borderId="0" xfId="0" applyFont="1" applyAlignment="1">
      <alignment horizontal="right"/>
    </xf>
    <xf numFmtId="170" fontId="8" fillId="0" borderId="0" xfId="0" applyNumberFormat="1" applyFont="1" applyAlignment="1">
      <alignment horizontal="right"/>
    </xf>
    <xf numFmtId="171" fontId="13" fillId="0" borderId="0" xfId="0" applyNumberFormat="1" applyFont="1" applyAlignment="1">
      <alignment horizontal="right"/>
    </xf>
    <xf numFmtId="164" fontId="0" fillId="0" borderId="0" xfId="0" applyNumberFormat="1" applyAlignment="1">
      <alignment horizontal="right"/>
    </xf>
    <xf numFmtId="165" fontId="0" fillId="0" borderId="0" xfId="0" applyNumberFormat="1" applyAlignment="1">
      <alignment horizontal="left"/>
    </xf>
    <xf numFmtId="164" fontId="6"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165" fontId="7" fillId="0" borderId="0" xfId="0" applyNumberFormat="1" applyFont="1" applyAlignment="1">
      <alignment horizontal="left"/>
    </xf>
    <xf numFmtId="164" fontId="11" fillId="0" borderId="3" xfId="0" applyNumberFormat="1" applyFont="1" applyBorder="1" applyAlignment="1">
      <alignment horizontal="right"/>
    </xf>
    <xf numFmtId="165" fontId="11" fillId="0" borderId="3" xfId="0" applyNumberFormat="1" applyFont="1" applyBorder="1" applyAlignment="1">
      <alignment horizontal="left"/>
    </xf>
    <xf numFmtId="165" fontId="8" fillId="0" borderId="0" xfId="0" applyNumberFormat="1"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left"/>
    </xf>
    <xf numFmtId="10" fontId="11" fillId="0" borderId="3" xfId="0" applyNumberFormat="1" applyFont="1" applyBorder="1" applyAlignment="1">
      <alignment horizontal="right"/>
    </xf>
    <xf numFmtId="165" fontId="11" fillId="0" borderId="4" xfId="0" applyNumberFormat="1" applyFont="1" applyBorder="1" applyAlignment="1">
      <alignment horizontal="left"/>
    </xf>
    <xf numFmtId="164" fontId="7" fillId="5" borderId="0" xfId="0" applyNumberFormat="1" applyFont="1" applyFill="1" applyAlignment="1">
      <alignment horizontal="right"/>
    </xf>
    <xf numFmtId="0" fontId="5" fillId="0" borderId="0" xfId="0" applyFont="1"/>
    <xf numFmtId="0" fontId="5" fillId="0" borderId="0" xfId="0" applyFont="1" applyAlignment="1">
      <alignment horizontal="left"/>
    </xf>
    <xf numFmtId="0" fontId="5" fillId="0" borderId="0" xfId="0" applyFont="1" applyAlignment="1">
      <alignment horizontal="right"/>
    </xf>
    <xf numFmtId="167" fontId="0" fillId="0" borderId="0" xfId="0" applyNumberFormat="1" applyAlignment="1">
      <alignment horizontal="right"/>
    </xf>
    <xf numFmtId="167" fontId="6" fillId="2" borderId="1" xfId="0" applyNumberFormat="1" applyFont="1" applyFill="1" applyBorder="1" applyAlignment="1">
      <alignment horizontal="right"/>
    </xf>
    <xf numFmtId="167" fontId="7" fillId="0" borderId="0" xfId="0" applyNumberFormat="1" applyFont="1" applyAlignment="1">
      <alignment horizontal="right"/>
    </xf>
    <xf numFmtId="167" fontId="11" fillId="0" borderId="3" xfId="0" applyNumberFormat="1" applyFont="1" applyBorder="1" applyAlignment="1">
      <alignment horizontal="right"/>
    </xf>
    <xf numFmtId="168" fontId="8" fillId="0" borderId="0" xfId="0" applyNumberFormat="1" applyFont="1" applyAlignment="1">
      <alignment horizontal="right"/>
    </xf>
    <xf numFmtId="167" fontId="10" fillId="0" borderId="0" xfId="0" applyNumberFormat="1" applyFont="1" applyAlignment="1">
      <alignment horizontal="right"/>
    </xf>
    <xf numFmtId="167" fontId="11" fillId="0" borderId="0" xfId="0" applyNumberFormat="1" applyFont="1" applyAlignment="1">
      <alignment horizontal="right"/>
    </xf>
    <xf numFmtId="164" fontId="7" fillId="6" borderId="0" xfId="0" applyNumberFormat="1" applyFont="1" applyFill="1" applyAlignment="1">
      <alignment horizontal="right"/>
    </xf>
    <xf numFmtId="164" fontId="7" fillId="7" borderId="0" xfId="0" applyNumberFormat="1" applyFont="1" applyFill="1" applyAlignment="1">
      <alignment horizontal="right"/>
    </xf>
    <xf numFmtId="164" fontId="7" fillId="8" borderId="0" xfId="0" applyNumberFormat="1" applyFont="1" applyFill="1" applyAlignment="1">
      <alignment horizontal="right"/>
    </xf>
    <xf numFmtId="164" fontId="7" fillId="9" borderId="0" xfId="0" applyNumberFormat="1" applyFont="1" applyFill="1" applyAlignment="1">
      <alignment horizontal="right"/>
    </xf>
    <xf numFmtId="164" fontId="7" fillId="10" borderId="0" xfId="0" applyNumberFormat="1" applyFont="1" applyFill="1" applyAlignment="1">
      <alignment horizontal="righ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valuationbot.ai/analysis/c04e6f56-e38d-4289-987b-c95f8c47dcdc/results" TargetMode="External"/><Relationship Id="rId2" Type="http://schemas.openxmlformats.org/officeDocument/2006/relationships/hyperlink" Target="https://valuationbot.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owGridLines="0"/>
  </sheetViews>
  <sheetFormatPr defaultRowHeight="15" outlineLevelRow="0" outlineLevelCol="0" x14ac:dyDescent="55"/>
  <cols>
    <col min="1" max="2" width="50" customWidth="1"/>
  </cols>
  <sheetData>
    <row r="1" spans="1:2" x14ac:dyDescent="0.25">
      <c r="A1" s="1" t="s">
        <v>0</v>
      </c>
      <c r="B1" s="1"/>
    </row>
    <row r="2" spans="1:2" x14ac:dyDescent="0.25">
      <c r="A2" s="2" t="s">
        <v>1</v>
      </c>
      <c r="B2" s="2"/>
    </row>
    <row r="3" spans="1:2" x14ac:dyDescent="0.25">
      <c r="A3" s="3" t="s">
        <v>2</v>
      </c>
      <c r="B3" s="3"/>
    </row>
    <row r="4" spans="1:2" x14ac:dyDescent="0.25">
      <c r="A4" s="3" t="s">
        <v>3</v>
      </c>
      <c r="B4" s="3"/>
    </row>
    <row r="5" spans="1:2" x14ac:dyDescent="0.25">
      <c r="A5" s="3" t="s">
        <v>4</v>
      </c>
      <c r="B5" s="3"/>
    </row>
    <row r="6" spans="1:2" x14ac:dyDescent="0.25">
      <c r="A6" s="3" t="s">
        <v>5</v>
      </c>
      <c r="B6" s="3"/>
    </row>
    <row r="7" spans="1:2" x14ac:dyDescent="0.25">
      <c r="A7" s="4" t="s">
        <v>6</v>
      </c>
      <c r="B7" s="4"/>
    </row>
    <row r="8" spans="1:2" x14ac:dyDescent="0.25">
      <c r="A8" s="4" t="s">
        <v>0</v>
      </c>
      <c r="B8" s="4"/>
    </row>
    <row r="9" spans="1:2" x14ac:dyDescent="0.25">
      <c r="A9" s="5" t="s">
        <v>7</v>
      </c>
      <c r="B9" s="5"/>
    </row>
    <row r="10" spans="1:2" x14ac:dyDescent="0.25">
      <c r="A10" s="5" t="s">
        <v>8</v>
      </c>
      <c r="B10" s="5"/>
    </row>
  </sheetData>
  <mergeCells count="10">
    <mergeCell ref="A1:B1"/>
    <mergeCell ref="A2:B2"/>
    <mergeCell ref="A3:B3"/>
    <mergeCell ref="A4:B4"/>
    <mergeCell ref="A5:B5"/>
    <mergeCell ref="A6:B6"/>
    <mergeCell ref="A7:B7"/>
    <mergeCell ref="A8:B8"/>
    <mergeCell ref="A9:B9"/>
    <mergeCell ref="A10:B10"/>
  </mergeCells>
  <hyperlinks>
    <hyperlink ref="A7" r:id="rId1"/>
    <hyperlink ref="A8" r:id="rId2"/>
  </hyperlink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owGridLines="0"/>
  </sheetViews>
  <sheetFormatPr defaultRowHeight="15" outlineLevelRow="0" outlineLevelCol="0" x14ac:dyDescent="55"/>
  <cols>
    <col min="1" max="1" width="20" style="6" customWidth="1"/>
    <col min="2" max="2" width="15" style="47" customWidth="1"/>
    <col min="3" max="3" width="15" style="48" customWidth="1"/>
  </cols>
  <sheetData>
    <row r="1" spans="1:3" s="8" customFormat="1" x14ac:dyDescent="0.25">
      <c r="A1" s="9" t="s">
        <v>190</v>
      </c>
      <c r="B1" s="49"/>
      <c r="C1" s="50"/>
    </row>
    <row r="2" spans="1:3" x14ac:dyDescent="0.25">
      <c r="A2" s="11" t="s">
        <v>10</v>
      </c>
      <c r="B2" s="35"/>
      <c r="C2" s="51"/>
    </row>
    <row r="4" spans="1:3" s="32" customFormat="1" x14ac:dyDescent="0.25">
      <c r="A4" s="21" t="s">
        <v>191</v>
      </c>
      <c r="B4" s="52" t="s">
        <v>192</v>
      </c>
      <c r="C4" s="53" t="s">
        <v>193</v>
      </c>
    </row>
    <row r="5" spans="1:3" x14ac:dyDescent="0.25">
      <c r="A5" s="11" t="s">
        <v>194</v>
      </c>
      <c r="B5" s="13">
        <v>31.77295005706684</v>
      </c>
      <c r="C5" s="54">
        <v>-0.8096858337402405</v>
      </c>
    </row>
    <row r="6" spans="1:3" x14ac:dyDescent="0.25">
      <c r="A6" s="11" t="s">
        <v>195</v>
      </c>
      <c r="B6" s="13">
        <v>19.94721159916386</v>
      </c>
      <c r="C6" s="54">
        <v>-0.8805198466656852</v>
      </c>
    </row>
    <row r="7" spans="1:3" x14ac:dyDescent="0.25">
      <c r="A7" s="11" t="s">
        <v>196</v>
      </c>
      <c r="B7" s="13">
        <v>50.74420240233096</v>
      </c>
      <c r="C7" s="54">
        <v>-0.6960514980393474</v>
      </c>
    </row>
    <row r="9" spans="1:3" x14ac:dyDescent="0.25">
      <c r="A9" s="18" t="s">
        <v>197</v>
      </c>
      <c r="B9" s="35"/>
      <c r="C9" s="51"/>
    </row>
    <row r="10" spans="1:3" x14ac:dyDescent="0.25">
      <c r="A10" s="11" t="s">
        <v>198</v>
      </c>
      <c r="B10" s="13">
        <v>50.74420240233096</v>
      </c>
      <c r="C10" s="51"/>
    </row>
    <row r="11" spans="1:3" x14ac:dyDescent="0.25">
      <c r="A11" s="11" t="s">
        <v>193</v>
      </c>
      <c r="B11" s="14">
        <v>-0.6960514980393474</v>
      </c>
      <c r="C11" s="51"/>
    </row>
    <row r="12" spans="1:3" x14ac:dyDescent="0.25">
      <c r="A12" s="11" t="s">
        <v>199</v>
      </c>
      <c r="B12" s="35"/>
      <c r="C12" s="51"/>
    </row>
    <row r="13" spans="1:3" s="17" customFormat="1" x14ac:dyDescent="0.25">
      <c r="A13" s="18" t="s">
        <v>200</v>
      </c>
      <c r="B13" s="55" t="s">
        <v>96</v>
      </c>
      <c r="C13" s="56" t="s">
        <v>99</v>
      </c>
    </row>
    <row r="14" spans="1:3" x14ac:dyDescent="0.25">
      <c r="A14" s="11" t="s">
        <v>40</v>
      </c>
      <c r="B14" s="14">
        <v>0.135</v>
      </c>
      <c r="C14" s="51" t="s">
        <v>201</v>
      </c>
    </row>
    <row r="15" spans="1:3" x14ac:dyDescent="0.25">
      <c r="A15" s="11" t="s">
        <v>42</v>
      </c>
      <c r="B15" s="14">
        <v>0.0375</v>
      </c>
      <c r="C15" s="51" t="s">
        <v>202</v>
      </c>
    </row>
    <row r="16" spans="1:3" x14ac:dyDescent="0.25">
      <c r="A16" s="11" t="s">
        <v>44</v>
      </c>
      <c r="B16" s="16">
        <v>12</v>
      </c>
      <c r="C16" s="51" t="s">
        <v>203</v>
      </c>
    </row>
    <row r="17" spans="1:3" x14ac:dyDescent="0.25">
      <c r="A17" s="11" t="s">
        <v>46</v>
      </c>
      <c r="B17" s="16">
        <v>0.75</v>
      </c>
      <c r="C17" s="51" t="s">
        <v>204</v>
      </c>
    </row>
    <row r="18" spans="1:3" x14ac:dyDescent="0.25">
      <c r="A18" s="11" t="s">
        <v>48</v>
      </c>
      <c r="B18" s="14">
        <v>0.26</v>
      </c>
      <c r="C18" s="51" t="s">
        <v>205</v>
      </c>
    </row>
    <row r="19" spans="1:3" x14ac:dyDescent="0.25">
      <c r="A19" s="11" t="s">
        <v>50</v>
      </c>
      <c r="B19" s="14">
        <v>0.215</v>
      </c>
      <c r="C19" s="51" t="s">
        <v>206</v>
      </c>
    </row>
    <row r="20" spans="1:3" x14ac:dyDescent="0.25">
      <c r="A20" s="11" t="s">
        <v>52</v>
      </c>
      <c r="B20" s="16">
        <v>7</v>
      </c>
      <c r="C20" s="51" t="s">
        <v>207</v>
      </c>
    </row>
    <row r="21" spans="1:3" x14ac:dyDescent="0.25">
      <c r="A21" s="11" t="s">
        <v>54</v>
      </c>
      <c r="B21" s="14">
        <v>0.2</v>
      </c>
      <c r="C21" s="51" t="s">
        <v>208</v>
      </c>
    </row>
    <row r="22" spans="1:3" x14ac:dyDescent="0.25">
      <c r="A22" s="11" t="s">
        <v>56</v>
      </c>
      <c r="B22" s="35" t="s">
        <v>209</v>
      </c>
      <c r="C22" s="51" t="s">
        <v>210</v>
      </c>
    </row>
    <row r="23" spans="1:3" x14ac:dyDescent="0.25">
      <c r="A23" s="11" t="s">
        <v>59</v>
      </c>
      <c r="B23" s="14">
        <v>0.52</v>
      </c>
      <c r="C23" s="51" t="s">
        <v>211</v>
      </c>
    </row>
    <row r="25" spans="1:3" x14ac:dyDescent="0.25">
      <c r="A25" s="18" t="s">
        <v>212</v>
      </c>
      <c r="B25" s="35"/>
      <c r="C25" s="51"/>
    </row>
    <row r="26" spans="1:3" x14ac:dyDescent="0.25">
      <c r="A26" s="11" t="s">
        <v>198</v>
      </c>
      <c r="B26" s="13">
        <v>19.94721159916386</v>
      </c>
      <c r="C26" s="51"/>
    </row>
    <row r="27" spans="1:3" x14ac:dyDescent="0.25">
      <c r="A27" s="11" t="s">
        <v>193</v>
      </c>
      <c r="B27" s="14">
        <v>-0.8805198466656852</v>
      </c>
      <c r="C27" s="51"/>
    </row>
    <row r="28" spans="1:3" x14ac:dyDescent="0.25">
      <c r="A28" s="11" t="s">
        <v>213</v>
      </c>
      <c r="B28" s="35"/>
      <c r="C28" s="51"/>
    </row>
    <row r="29" spans="1:3" s="17" customFormat="1" x14ac:dyDescent="0.25">
      <c r="A29" s="18" t="s">
        <v>200</v>
      </c>
      <c r="B29" s="55" t="s">
        <v>96</v>
      </c>
      <c r="C29" s="56" t="s">
        <v>99</v>
      </c>
    </row>
    <row r="30" spans="1:3" x14ac:dyDescent="0.25">
      <c r="A30" s="11" t="s">
        <v>40</v>
      </c>
      <c r="B30" s="14">
        <v>0.075</v>
      </c>
      <c r="C30" s="51" t="s">
        <v>214</v>
      </c>
    </row>
    <row r="31" spans="1:3" x14ac:dyDescent="0.25">
      <c r="A31" s="11" t="s">
        <v>42</v>
      </c>
      <c r="B31" s="14">
        <v>0.032</v>
      </c>
      <c r="C31" s="51" t="s">
        <v>215</v>
      </c>
    </row>
    <row r="32" spans="1:3" x14ac:dyDescent="0.25">
      <c r="A32" s="11" t="s">
        <v>44</v>
      </c>
      <c r="B32" s="16">
        <v>8</v>
      </c>
      <c r="C32" s="51" t="s">
        <v>216</v>
      </c>
    </row>
    <row r="33" spans="1:3" x14ac:dyDescent="0.25">
      <c r="A33" s="11" t="s">
        <v>46</v>
      </c>
      <c r="B33" s="16">
        <v>0.55</v>
      </c>
      <c r="C33" s="51" t="s">
        <v>217</v>
      </c>
    </row>
    <row r="34" spans="1:3" x14ac:dyDescent="0.25">
      <c r="A34" s="11" t="s">
        <v>48</v>
      </c>
      <c r="B34" s="14">
        <v>0.18</v>
      </c>
      <c r="C34" s="51" t="s">
        <v>218</v>
      </c>
    </row>
    <row r="35" spans="1:3" x14ac:dyDescent="0.25">
      <c r="A35" s="11" t="s">
        <v>50</v>
      </c>
      <c r="B35" s="14">
        <v>0.165</v>
      </c>
      <c r="C35" s="51" t="s">
        <v>219</v>
      </c>
    </row>
    <row r="36" spans="1:3" x14ac:dyDescent="0.25">
      <c r="A36" s="11" t="s">
        <v>52</v>
      </c>
      <c r="B36" s="16">
        <v>5</v>
      </c>
      <c r="C36" s="51" t="s">
        <v>220</v>
      </c>
    </row>
    <row r="37" spans="1:3" x14ac:dyDescent="0.25">
      <c r="A37" s="11" t="s">
        <v>54</v>
      </c>
      <c r="B37" s="14">
        <v>0.13</v>
      </c>
      <c r="C37" s="51" t="s">
        <v>221</v>
      </c>
    </row>
    <row r="38" spans="1:3" x14ac:dyDescent="0.25">
      <c r="A38" s="11" t="s">
        <v>56</v>
      </c>
      <c r="B38" s="35" t="s">
        <v>222</v>
      </c>
      <c r="C38" s="51" t="s">
        <v>223</v>
      </c>
    </row>
    <row r="39" spans="1:3" x14ac:dyDescent="0.25">
      <c r="A39" s="11" t="s">
        <v>59</v>
      </c>
      <c r="B39" s="14">
        <v>0.45</v>
      </c>
      <c r="C39" s="51" t="s">
        <v>224</v>
      </c>
    </row>
  </sheetData>
  <pageMargins left="0.7" right="0.7" top="0.75" bottom="0.75" header="0.3" footer="0.3"/>
  <pageSetup orientation="portrait" horizontalDpi="4294967295" verticalDpi="4294967295" scale="100" fitToWidth="1" fitToHeigh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owGridLines="0"/>
  </sheetViews>
  <sheetFormatPr defaultRowHeight="15" outlineLevelRow="0" outlineLevelCol="0" x14ac:dyDescent="55"/>
  <cols>
    <col min="1" max="1" width="25" style="6" customWidth="1"/>
    <col min="2" max="8" width="15" style="7" customWidth="1"/>
  </cols>
  <sheetData>
    <row r="1" spans="1:8" s="8" customFormat="1" x14ac:dyDescent="0.25">
      <c r="A1" s="9" t="s">
        <v>225</v>
      </c>
      <c r="B1" s="10"/>
      <c r="C1" s="10"/>
      <c r="D1" s="10"/>
      <c r="E1" s="10"/>
      <c r="F1" s="10"/>
      <c r="G1" s="10"/>
      <c r="H1" s="10"/>
    </row>
    <row r="2" spans="1:8" x14ac:dyDescent="0.25">
      <c r="A2" s="11" t="s">
        <v>10</v>
      </c>
      <c r="B2" s="12"/>
      <c r="C2" s="12"/>
      <c r="D2" s="12"/>
      <c r="E2" s="12"/>
      <c r="F2" s="12"/>
      <c r="G2" s="12"/>
      <c r="H2" s="12"/>
    </row>
    <row r="4" spans="1:8" x14ac:dyDescent="0.25">
      <c r="A4" s="21" t="s">
        <v>226</v>
      </c>
      <c r="B4" s="57">
        <v>0.005</v>
      </c>
      <c r="C4" s="57">
        <v>0.01</v>
      </c>
      <c r="D4" s="57">
        <v>0.015</v>
      </c>
      <c r="E4" s="57">
        <v>0.02</v>
      </c>
      <c r="F4" s="57">
        <v>0.025</v>
      </c>
      <c r="G4" s="57">
        <v>0.03</v>
      </c>
      <c r="H4" s="57">
        <v>0.035</v>
      </c>
    </row>
    <row r="5" spans="1:8" x14ac:dyDescent="0.25">
      <c r="A5" s="58">
        <v>0.0931</v>
      </c>
      <c r="B5" s="59">
        <v>40.90403081632614</v>
      </c>
      <c r="C5" s="59">
        <v>41.97740155945261</v>
      </c>
      <c r="D5" s="59">
        <v>43.18061029987316</v>
      </c>
      <c r="E5" s="59">
        <v>44.53987466912121</v>
      </c>
      <c r="F5" s="59">
        <v>46.08910147049282</v>
      </c>
      <c r="G5" s="59">
        <v>47.87293295399973</v>
      </c>
      <c r="H5" s="59">
        <v>49.95136603767538</v>
      </c>
    </row>
    <row r="6" spans="1:8" x14ac:dyDescent="0.25">
      <c r="A6" s="58">
        <v>0.1031</v>
      </c>
      <c r="B6" s="59">
        <v>35.30331434749071</v>
      </c>
      <c r="C6" s="59">
        <v>36.0222326679984</v>
      </c>
      <c r="D6" s="59">
        <v>36.81661597623335</v>
      </c>
      <c r="E6" s="59">
        <v>37.69974328021719</v>
      </c>
      <c r="F6" s="59">
        <v>38.68828564318863</v>
      </c>
      <c r="G6" s="59">
        <v>39.80346613991522</v>
      </c>
      <c r="H6" s="59">
        <v>41.07273080609279</v>
      </c>
    </row>
    <row r="7" spans="1:8" x14ac:dyDescent="0.25">
      <c r="A7" s="58">
        <v>0.1131</v>
      </c>
      <c r="B7" s="59">
        <v>30.82082686272035</v>
      </c>
      <c r="C7" s="59">
        <v>31.30485174782476</v>
      </c>
      <c r="D7" s="59">
        <v>31.83319128835837</v>
      </c>
      <c r="E7" s="59">
        <v>32.41270444703741</v>
      </c>
      <c r="F7" s="59">
        <v>33.05180038661756</v>
      </c>
      <c r="G7" s="59">
        <v>33.76090474098655</v>
      </c>
      <c r="H7" s="59">
        <v>34.55310499096355</v>
      </c>
    </row>
    <row r="8" spans="1:8" x14ac:dyDescent="0.25">
      <c r="A8" s="58">
        <v>0.1231</v>
      </c>
      <c r="B8" s="59">
        <v>27.16684507607045</v>
      </c>
      <c r="C8" s="59">
        <v>27.4912377929765</v>
      </c>
      <c r="D8" s="59">
        <v>27.8414793965492</v>
      </c>
      <c r="E8" s="59">
        <v>28.22109764286444</v>
      </c>
      <c r="F8" s="59">
        <v>28.63433382180449</v>
      </c>
      <c r="G8" s="59">
        <v>29.08633428348138</v>
      </c>
      <c r="H8" s="59">
        <v>29.58340718307111</v>
      </c>
    </row>
    <row r="9" spans="1:8" x14ac:dyDescent="0.25">
      <c r="A9" s="58">
        <v>0.1331</v>
      </c>
      <c r="B9" s="59">
        <v>24.14256045902722</v>
      </c>
      <c r="C9" s="59">
        <v>24.35635478969095</v>
      </c>
      <c r="D9" s="59">
        <v>24.58477754618722</v>
      </c>
      <c r="E9" s="59">
        <v>24.82957359040405</v>
      </c>
      <c r="F9" s="59">
        <v>25.09280586552782</v>
      </c>
      <c r="G9" s="59">
        <v>25.37693246082176</v>
      </c>
      <c r="H9" s="59">
        <v>25.68490724313976</v>
      </c>
    </row>
    <row r="10" spans="1:8" x14ac:dyDescent="0.25">
      <c r="A10" s="58">
        <v>0.1431</v>
      </c>
      <c r="B10" s="59">
        <v>21.60712363027724</v>
      </c>
      <c r="C10" s="59">
        <v>21.74317124337903</v>
      </c>
      <c r="D10" s="59">
        <v>21.88691513805908</v>
      </c>
      <c r="E10" s="59">
        <v>22.03912809718905</v>
      </c>
      <c r="F10" s="59">
        <v>22.20070977803148</v>
      </c>
      <c r="G10" s="59">
        <v>22.37271470283314</v>
      </c>
      <c r="H10" s="59">
        <v>22.55638801699383</v>
      </c>
    </row>
    <row r="11" spans="1:8" x14ac:dyDescent="0.25">
      <c r="A11" s="58">
        <v>0.1531</v>
      </c>
      <c r="B11" s="59">
        <v>19.45804391196572</v>
      </c>
      <c r="C11" s="59">
        <v>19.53886611048048</v>
      </c>
      <c r="D11" s="59">
        <v>19.62306368749302</v>
      </c>
      <c r="E11" s="59">
        <v>19.71087653042444</v>
      </c>
      <c r="F11" s="59">
        <v>19.80257858792838</v>
      </c>
      <c r="G11" s="59">
        <v>19.89848474146675</v>
      </c>
      <c r="H11" s="59">
        <v>19.99895942208239</v>
      </c>
    </row>
    <row r="12" spans="1:8" x14ac:dyDescent="0.25">
      <c r="A12" s="58">
        <v>0.1631</v>
      </c>
      <c r="B12" s="59">
        <v>17.61903054899881</v>
      </c>
      <c r="C12" s="59">
        <v>17.66036280872317</v>
      </c>
      <c r="D12" s="59">
        <v>17.70237575691631</v>
      </c>
      <c r="E12" s="59">
        <v>17.74502034755374</v>
      </c>
      <c r="F12" s="59">
        <v>17.78823753193942</v>
      </c>
      <c r="G12" s="59">
        <v>17.83195634086409</v>
      </c>
      <c r="H12" s="59">
        <v>17.8760915173361</v>
      </c>
    </row>
    <row r="13" spans="1:8" x14ac:dyDescent="0.25">
      <c r="A13" s="58">
        <v>0.1731</v>
      </c>
      <c r="B13" s="59">
        <v>16.03217641208552</v>
      </c>
      <c r="C13" s="59">
        <v>16.0451875074078</v>
      </c>
      <c r="D13" s="59">
        <v>16.05721516108619</v>
      </c>
      <c r="E13" s="59">
        <v>16.06805927830627</v>
      </c>
      <c r="F13" s="59">
        <v>16.07749024895549</v>
      </c>
      <c r="G13" s="59">
        <v>16.08524375771085</v>
      </c>
      <c r="H13" s="59">
        <v>16.09101446645845</v>
      </c>
    </row>
    <row r="14" spans="1:8" x14ac:dyDescent="0.25">
      <c r="A14" s="58">
        <v>0.1831</v>
      </c>
      <c r="B14" s="59">
        <v>14.65277714996663</v>
      </c>
      <c r="C14" s="59">
        <v>14.64549833452816</v>
      </c>
      <c r="D14" s="59">
        <v>14.63623344106497</v>
      </c>
      <c r="E14" s="59">
        <v>14.62470997911185</v>
      </c>
      <c r="F14" s="59">
        <v>14.61061883168099</v>
      </c>
      <c r="G14" s="59">
        <v>14.59360824554575</v>
      </c>
      <c r="H14" s="59">
        <v>14.57327660395178</v>
      </c>
    </row>
    <row r="15" spans="1:8" x14ac:dyDescent="0.25">
      <c r="A15" s="58">
        <v>0.1931</v>
      </c>
      <c r="B15" s="59">
        <v>13.44580479857823</v>
      </c>
      <c r="C15" s="59">
        <v>13.42407301515957</v>
      </c>
      <c r="D15" s="59">
        <v>13.39978065066914</v>
      </c>
      <c r="E15" s="59">
        <v>13.37262768053666</v>
      </c>
      <c r="F15" s="59">
        <v>13.34227651167501</v>
      </c>
      <c r="G15" s="59">
        <v>13.30834619891703</v>
      </c>
      <c r="H15" s="59">
        <v>13.27040556382088</v>
      </c>
    </row>
    <row r="17" spans="1:8" s="60" customFormat="1" x14ac:dyDescent="0.25">
      <c r="A17" s="61" t="s">
        <v>227</v>
      </c>
      <c r="B17" s="62"/>
      <c r="C17" s="62"/>
      <c r="D17" s="62"/>
      <c r="E17" s="62"/>
      <c r="F17" s="62"/>
      <c r="G17" s="62"/>
      <c r="H17" s="62"/>
    </row>
  </sheetData>
  <pageMargins left="0.7" right="0.7" top="0.75" bottom="0.75" header="0.3" footer="0.3"/>
  <pageSetup orientation="portrait" horizontalDpi="4294967295" verticalDpi="4294967295" scale="100" fitToWidth="1" fitToHeigh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owGridLines="0"/>
  </sheetViews>
  <sheetFormatPr defaultRowHeight="15" outlineLevelRow="0" outlineLevelCol="0" x14ac:dyDescent="55"/>
  <cols>
    <col min="1" max="1" width="25" style="6" customWidth="1"/>
    <col min="2" max="4" width="15" style="63" customWidth="1"/>
  </cols>
  <sheetData>
    <row r="1" spans="1:4" s="8" customFormat="1" x14ac:dyDescent="0.25">
      <c r="A1" s="9" t="s">
        <v>228</v>
      </c>
      <c r="B1" s="64"/>
      <c r="C1" s="64"/>
      <c r="D1" s="64"/>
    </row>
    <row r="2" spans="1:4" x14ac:dyDescent="0.25">
      <c r="A2" s="11" t="s">
        <v>10</v>
      </c>
      <c r="B2" s="65"/>
      <c r="C2" s="65"/>
      <c r="D2" s="65"/>
    </row>
    <row r="4" spans="1:4" x14ac:dyDescent="0.25">
      <c r="A4" s="11" t="s">
        <v>20</v>
      </c>
      <c r="B4" s="14">
        <v>0.05519547820091247</v>
      </c>
      <c r="C4" s="65" t="s">
        <v>62</v>
      </c>
      <c r="D4" s="65" t="s">
        <v>62</v>
      </c>
    </row>
    <row r="6" spans="1:4" s="32" customFormat="1" x14ac:dyDescent="0.25">
      <c r="A6" s="21" t="s">
        <v>229</v>
      </c>
      <c r="B6" s="66" t="s">
        <v>230</v>
      </c>
      <c r="C6" s="66" t="s">
        <v>231</v>
      </c>
      <c r="D6" s="66" t="s">
        <v>232</v>
      </c>
    </row>
    <row r="7" spans="1:4" x14ac:dyDescent="0.25">
      <c r="A7" s="11" t="s">
        <v>48</v>
      </c>
      <c r="B7" s="14">
        <v>0.22</v>
      </c>
      <c r="C7" s="14">
        <v>0.4907347484031965</v>
      </c>
      <c r="D7" s="14">
        <v>0.27073474840319645</v>
      </c>
    </row>
    <row r="8" spans="1:4" x14ac:dyDescent="0.25">
      <c r="A8" s="11" t="s">
        <v>40</v>
      </c>
      <c r="B8" s="14">
        <v>0.105</v>
      </c>
      <c r="C8" s="14">
        <v>0.2342143117378892</v>
      </c>
      <c r="D8" s="14">
        <v>0.12921431173788922</v>
      </c>
    </row>
    <row r="9" spans="1:4" x14ac:dyDescent="0.25">
      <c r="A9" s="11" t="s">
        <v>46</v>
      </c>
      <c r="B9" s="67">
        <v>0.65</v>
      </c>
      <c r="C9" s="67">
        <v>1.449898120282173</v>
      </c>
      <c r="D9" s="67">
        <v>0.799898120282173</v>
      </c>
    </row>
    <row r="11" spans="1:4" s="17" customFormat="1" x14ac:dyDescent="0.25">
      <c r="A11" s="18" t="s">
        <v>233</v>
      </c>
      <c r="B11" s="68"/>
      <c r="C11" s="68"/>
      <c r="D11" s="68"/>
    </row>
    <row r="12" spans="1:4" s="32" customFormat="1" x14ac:dyDescent="0.25">
      <c r="A12" s="21" t="s">
        <v>234</v>
      </c>
      <c r="B12" s="66" t="s">
        <v>235</v>
      </c>
      <c r="C12" s="69"/>
      <c r="D12" s="69"/>
    </row>
    <row r="13" spans="1:4" x14ac:dyDescent="0.25">
      <c r="A13" s="11" t="s">
        <v>236</v>
      </c>
      <c r="B13" s="70">
        <v>9.342007144425516</v>
      </c>
      <c r="C13" s="65"/>
      <c r="D13" s="65"/>
    </row>
    <row r="14" spans="1:4" x14ac:dyDescent="0.25">
      <c r="A14" s="11" t="s">
        <v>237</v>
      </c>
      <c r="B14" s="70">
        <v>20.31590450041644</v>
      </c>
      <c r="C14" s="65"/>
      <c r="D14" s="65"/>
    </row>
    <row r="15" spans="1:4" x14ac:dyDescent="0.25">
      <c r="A15" s="11" t="s">
        <v>148</v>
      </c>
      <c r="B15" s="71">
        <v>22.4947846877542</v>
      </c>
      <c r="C15" s="65"/>
      <c r="D15" s="65"/>
    </row>
    <row r="16" spans="1:4" x14ac:dyDescent="0.25">
      <c r="A16" s="11" t="s">
        <v>238</v>
      </c>
      <c r="B16" s="71">
        <v>24.01582261349209</v>
      </c>
      <c r="C16" s="65"/>
      <c r="D16" s="65"/>
    </row>
    <row r="17" spans="1:4" x14ac:dyDescent="0.25">
      <c r="A17" s="11" t="s">
        <v>239</v>
      </c>
      <c r="B17" s="71">
        <v>25.29402999709885</v>
      </c>
      <c r="C17" s="65"/>
      <c r="D17" s="65"/>
    </row>
    <row r="18" spans="1:4" x14ac:dyDescent="0.25">
      <c r="A18" s="11" t="s">
        <v>149</v>
      </c>
      <c r="B18" s="72">
        <v>26.38591409933221</v>
      </c>
      <c r="C18" s="65"/>
      <c r="D18" s="65"/>
    </row>
    <row r="19" spans="1:4" x14ac:dyDescent="0.25">
      <c r="A19" s="11" t="s">
        <v>240</v>
      </c>
      <c r="B19" s="72">
        <v>27.39148877747915</v>
      </c>
      <c r="C19" s="65"/>
      <c r="D19" s="65"/>
    </row>
    <row r="20" spans="1:4" x14ac:dyDescent="0.25">
      <c r="A20" s="11" t="s">
        <v>241</v>
      </c>
      <c r="B20" s="72">
        <v>28.31478602184135</v>
      </c>
      <c r="C20" s="65"/>
      <c r="D20" s="65"/>
    </row>
    <row r="21" spans="1:4" x14ac:dyDescent="0.25">
      <c r="A21" s="11" t="s">
        <v>242</v>
      </c>
      <c r="B21" s="72">
        <v>29.27673420481276</v>
      </c>
      <c r="C21" s="65"/>
      <c r="D21" s="65"/>
    </row>
    <row r="22" spans="1:4" x14ac:dyDescent="0.25">
      <c r="A22" s="11" t="s">
        <v>243</v>
      </c>
      <c r="B22" s="72">
        <v>30.12690086905643</v>
      </c>
      <c r="C22" s="65"/>
      <c r="D22" s="65"/>
    </row>
    <row r="23" spans="1:4" x14ac:dyDescent="0.25">
      <c r="A23" s="11" t="s">
        <v>150</v>
      </c>
      <c r="B23" s="72">
        <v>31.07584334249979</v>
      </c>
      <c r="C23" s="65"/>
      <c r="D23" s="65"/>
    </row>
    <row r="24" spans="1:4" x14ac:dyDescent="0.25">
      <c r="A24" s="11" t="s">
        <v>244</v>
      </c>
      <c r="B24" s="72">
        <v>31.99942354842041</v>
      </c>
      <c r="C24" s="65"/>
      <c r="D24" s="65"/>
    </row>
    <row r="25" spans="1:4" x14ac:dyDescent="0.25">
      <c r="A25" s="11" t="s">
        <v>245</v>
      </c>
      <c r="B25" s="72">
        <v>32.9095890221561</v>
      </c>
      <c r="C25" s="65"/>
      <c r="D25" s="65"/>
    </row>
    <row r="26" spans="1:4" x14ac:dyDescent="0.25">
      <c r="A26" s="11" t="s">
        <v>246</v>
      </c>
      <c r="B26" s="72">
        <v>33.84448487835688</v>
      </c>
      <c r="C26" s="65"/>
      <c r="D26" s="65"/>
    </row>
    <row r="27" spans="1:4" x14ac:dyDescent="0.25">
      <c r="A27" s="11" t="s">
        <v>247</v>
      </c>
      <c r="B27" s="72">
        <v>34.84378952700304</v>
      </c>
      <c r="C27" s="65"/>
      <c r="D27" s="65"/>
    </row>
    <row r="28" spans="1:4" x14ac:dyDescent="0.25">
      <c r="A28" s="11" t="s">
        <v>151</v>
      </c>
      <c r="B28" s="73">
        <v>35.92963993781127</v>
      </c>
      <c r="C28" s="65"/>
      <c r="D28" s="65"/>
    </row>
    <row r="29" spans="1:4" x14ac:dyDescent="0.25">
      <c r="A29" s="11" t="s">
        <v>248</v>
      </c>
      <c r="B29" s="73">
        <v>37.1864908549643</v>
      </c>
      <c r="C29" s="65"/>
      <c r="D29" s="65"/>
    </row>
    <row r="30" spans="1:4" x14ac:dyDescent="0.25">
      <c r="A30" s="11" t="s">
        <v>249</v>
      </c>
      <c r="B30" s="73">
        <v>38.68288412288896</v>
      </c>
      <c r="C30" s="65"/>
      <c r="D30" s="65"/>
    </row>
    <row r="31" spans="1:4" x14ac:dyDescent="0.25">
      <c r="A31" s="11" t="s">
        <v>152</v>
      </c>
      <c r="B31" s="74">
        <v>40.60790895883225</v>
      </c>
      <c r="C31" s="65"/>
      <c r="D31" s="65"/>
    </row>
    <row r="32" spans="1:4" x14ac:dyDescent="0.25">
      <c r="A32" s="11" t="s">
        <v>250</v>
      </c>
      <c r="B32" s="74">
        <v>43.58519257308107</v>
      </c>
      <c r="C32" s="65"/>
      <c r="D32" s="65"/>
    </row>
    <row r="33" spans="1:4" x14ac:dyDescent="0.25">
      <c r="A33" s="11" t="s">
        <v>251</v>
      </c>
      <c r="B33" s="74">
        <v>64.30825000610481</v>
      </c>
      <c r="C33" s="65"/>
      <c r="D33" s="65"/>
    </row>
    <row r="34" spans="1:4" x14ac:dyDescent="0.25">
      <c r="A34" s="75" t="s">
        <v>252</v>
      </c>
      <c r="B34" s="65"/>
      <c r="C34" s="65"/>
      <c r="D34" s="65"/>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owGridLines="0"/>
  </sheetViews>
  <sheetFormatPr defaultRowHeight="15" outlineLevelRow="0" outlineLevelCol="0" x14ac:dyDescent="55"/>
  <cols>
    <col min="1" max="1" width="30" style="6" customWidth="1"/>
    <col min="2" max="2" width="50" style="7" customWidth="1"/>
  </cols>
  <sheetData>
    <row r="1" spans="1:2" s="8" customFormat="1" x14ac:dyDescent="0.25">
      <c r="A1" s="9" t="s">
        <v>9</v>
      </c>
      <c r="B1" s="10"/>
    </row>
    <row r="2" spans="1:2" x14ac:dyDescent="0.25">
      <c r="A2" s="11" t="s">
        <v>10</v>
      </c>
      <c r="B2" s="12"/>
    </row>
    <row r="4" spans="1:2" x14ac:dyDescent="0.25">
      <c r="A4" s="11" t="s">
        <v>11</v>
      </c>
      <c r="B4" s="12" t="s">
        <v>12</v>
      </c>
    </row>
    <row r="5" spans="1:2" x14ac:dyDescent="0.25">
      <c r="A5" s="11" t="s">
        <v>13</v>
      </c>
      <c r="B5" s="12" t="s">
        <v>14</v>
      </c>
    </row>
    <row r="6" spans="1:2" x14ac:dyDescent="0.25">
      <c r="A6" s="11" t="s">
        <v>15</v>
      </c>
      <c r="B6" s="12" t="s">
        <v>16</v>
      </c>
    </row>
    <row r="7" spans="1:2" x14ac:dyDescent="0.25">
      <c r="A7" s="11" t="s">
        <v>17</v>
      </c>
      <c r="B7" s="13">
        <v>166.95</v>
      </c>
    </row>
    <row r="8" spans="1:2" x14ac:dyDescent="0.25">
      <c r="A8" s="11" t="s">
        <v>18</v>
      </c>
      <c r="B8" s="13">
        <v>31.77295005706684</v>
      </c>
    </row>
    <row r="9" spans="1:2" x14ac:dyDescent="0.25">
      <c r="A9" s="11" t="s">
        <v>19</v>
      </c>
      <c r="B9" s="14">
        <v>-0.8096858337402405</v>
      </c>
    </row>
    <row r="10" spans="1:2" x14ac:dyDescent="0.25">
      <c r="A10" s="11" t="s">
        <v>20</v>
      </c>
      <c r="B10" s="14">
        <v>0.05519547820091247</v>
      </c>
    </row>
    <row r="11" spans="1:2" x14ac:dyDescent="0.25">
      <c r="A11" s="11" t="s">
        <v>21</v>
      </c>
      <c r="B11" s="12" t="s">
        <v>22</v>
      </c>
    </row>
    <row r="12" spans="1:2" x14ac:dyDescent="0.25">
      <c r="A12" s="11" t="s">
        <v>23</v>
      </c>
      <c r="B12" s="15">
        <v>46069.21941997686</v>
      </c>
    </row>
    <row r="13" spans="1:2" x14ac:dyDescent="0.25">
      <c r="A13" s="11" t="s">
        <v>24</v>
      </c>
      <c r="B13" s="15">
        <v>45869</v>
      </c>
    </row>
    <row r="14" spans="1:2" x14ac:dyDescent="0.25">
      <c r="A14" s="11" t="s">
        <v>25</v>
      </c>
      <c r="B14" s="12" t="s">
        <v>26</v>
      </c>
    </row>
    <row r="15" spans="1:2" x14ac:dyDescent="0.25">
      <c r="A15" s="11" t="s">
        <v>27</v>
      </c>
      <c r="B15" s="12" t="s">
        <v>28</v>
      </c>
    </row>
    <row r="16" spans="1:2" x14ac:dyDescent="0.25">
      <c r="A16" s="11" t="s">
        <v>29</v>
      </c>
      <c r="B16" s="12" t="s">
        <v>30</v>
      </c>
    </row>
    <row r="17" spans="1:2" x14ac:dyDescent="0.25">
      <c r="A17" s="11" t="s">
        <v>31</v>
      </c>
      <c r="B17" s="12" t="s">
        <v>32</v>
      </c>
    </row>
    <row r="18" spans="1:2" x14ac:dyDescent="0.25">
      <c r="A18" s="11" t="s">
        <v>33</v>
      </c>
      <c r="B18" s="12" t="s">
        <v>34</v>
      </c>
    </row>
    <row r="19" spans="1:2" x14ac:dyDescent="0.25">
      <c r="A19" s="11" t="s">
        <v>35</v>
      </c>
      <c r="B19" s="16">
        <v>116364.15</v>
      </c>
    </row>
    <row r="20" spans="1:2" x14ac:dyDescent="0.25">
      <c r="A20" s="11" t="s">
        <v>36</v>
      </c>
      <c r="B20" s="16">
        <v>697</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owGridLines="0"/>
  </sheetViews>
  <sheetFormatPr defaultRowHeight="15" outlineLevelRow="0" outlineLevelCol="0" x14ac:dyDescent="55"/>
  <cols>
    <col min="1" max="1" width="30" style="6" customWidth="1"/>
    <col min="2" max="2" width="15" style="7" customWidth="1"/>
    <col min="3" max="3" width="60" style="6" customWidth="1"/>
  </cols>
  <sheetData>
    <row r="1" spans="1:3" s="8" customFormat="1" x14ac:dyDescent="0.25">
      <c r="A1" s="9" t="s">
        <v>37</v>
      </c>
      <c r="B1" s="10"/>
      <c r="C1" s="9"/>
    </row>
    <row r="2" spans="1:3" x14ac:dyDescent="0.25">
      <c r="A2" s="11" t="s">
        <v>10</v>
      </c>
      <c r="B2" s="12"/>
      <c r="C2" s="11"/>
    </row>
    <row r="4" spans="1:3" s="17" customFormat="1" x14ac:dyDescent="0.25">
      <c r="A4" s="18" t="s">
        <v>38</v>
      </c>
      <c r="B4" s="18"/>
      <c r="C4" s="18"/>
    </row>
    <row r="5" spans="1:3" x14ac:dyDescent="0.25">
      <c r="A5" s="11" t="s">
        <v>39</v>
      </c>
      <c r="B5" s="11"/>
      <c r="C5" s="11"/>
    </row>
    <row r="7" spans="1:3" s="17" customFormat="1" x14ac:dyDescent="0.25">
      <c r="A7" s="18" t="s">
        <v>37</v>
      </c>
      <c r="B7" s="18"/>
      <c r="C7" s="18"/>
    </row>
    <row r="8" spans="1:3" x14ac:dyDescent="0.25">
      <c r="A8" s="11" t="s">
        <v>40</v>
      </c>
      <c r="B8" s="19">
        <v>0.105</v>
      </c>
      <c r="C8" s="11" t="s">
        <v>41</v>
      </c>
    </row>
    <row r="9" spans="1:3" x14ac:dyDescent="0.25">
      <c r="A9" s="11" t="s">
        <v>42</v>
      </c>
      <c r="B9" s="19">
        <v>0.035</v>
      </c>
      <c r="C9" s="11" t="s">
        <v>43</v>
      </c>
    </row>
    <row r="10" spans="1:3" x14ac:dyDescent="0.25">
      <c r="A10" s="11" t="s">
        <v>44</v>
      </c>
      <c r="B10" s="20">
        <v>10</v>
      </c>
      <c r="C10" s="11" t="s">
        <v>45</v>
      </c>
    </row>
    <row r="11" spans="1:3" x14ac:dyDescent="0.25">
      <c r="A11" s="11" t="s">
        <v>46</v>
      </c>
      <c r="B11" s="20">
        <v>0.65</v>
      </c>
      <c r="C11" s="11" t="s">
        <v>47</v>
      </c>
    </row>
    <row r="12" spans="1:3" x14ac:dyDescent="0.25">
      <c r="A12" s="11" t="s">
        <v>48</v>
      </c>
      <c r="B12" s="19">
        <v>0.22</v>
      </c>
      <c r="C12" s="11" t="s">
        <v>49</v>
      </c>
    </row>
    <row r="13" spans="1:3" x14ac:dyDescent="0.25">
      <c r="A13" s="11" t="s">
        <v>50</v>
      </c>
      <c r="B13" s="19">
        <v>0.2</v>
      </c>
      <c r="C13" s="11" t="s">
        <v>51</v>
      </c>
    </row>
    <row r="14" spans="1:3" x14ac:dyDescent="0.25">
      <c r="A14" s="11" t="s">
        <v>52</v>
      </c>
      <c r="B14" s="20">
        <v>6</v>
      </c>
      <c r="C14" s="11" t="s">
        <v>53</v>
      </c>
    </row>
    <row r="15" spans="1:3" x14ac:dyDescent="0.25">
      <c r="A15" s="11" t="s">
        <v>54</v>
      </c>
      <c r="B15" s="19">
        <v>0.16</v>
      </c>
      <c r="C15" s="11" t="s">
        <v>55</v>
      </c>
    </row>
    <row r="16" spans="1:3" x14ac:dyDescent="0.25">
      <c r="A16" s="11" t="s">
        <v>56</v>
      </c>
      <c r="B16" s="12" t="s">
        <v>57</v>
      </c>
      <c r="C16" s="11" t="s">
        <v>58</v>
      </c>
    </row>
    <row r="17" spans="1:3" x14ac:dyDescent="0.25">
      <c r="A17" s="11" t="s">
        <v>59</v>
      </c>
      <c r="B17" s="19">
        <v>0.5</v>
      </c>
      <c r="C17" s="11" t="s">
        <v>60</v>
      </c>
    </row>
  </sheetData>
  <mergeCells count="3">
    <mergeCell ref="A4:C4"/>
    <mergeCell ref="A5:C5"/>
    <mergeCell ref="A7:C7"/>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workbookViewId="0" showGridLines="0"/>
  </sheetViews>
  <sheetFormatPr defaultRowHeight="15" outlineLevelRow="0" outlineLevelCol="0" x14ac:dyDescent="55"/>
  <cols>
    <col min="1" max="1" width="30" style="6" customWidth="1"/>
    <col min="2" max="23" width="15" style="7" customWidth="1"/>
  </cols>
  <sheetData>
    <row r="1" spans="1:23" s="8" customFormat="1" x14ac:dyDescent="0.25">
      <c r="A1" s="9" t="s">
        <v>61</v>
      </c>
      <c r="B1" s="10"/>
      <c r="C1" s="10"/>
      <c r="D1" s="10"/>
      <c r="E1" s="10"/>
      <c r="F1" s="10"/>
      <c r="G1" s="10"/>
      <c r="H1" s="10"/>
      <c r="I1" s="10"/>
      <c r="J1" s="10"/>
      <c r="K1" s="10"/>
      <c r="L1" s="10"/>
      <c r="M1" s="10"/>
      <c r="N1" s="10"/>
      <c r="O1" s="10"/>
      <c r="P1" s="10"/>
      <c r="Q1" s="10"/>
      <c r="R1" s="10"/>
      <c r="S1" s="10"/>
      <c r="T1" s="10"/>
      <c r="U1" s="10"/>
      <c r="V1" s="10"/>
      <c r="W1" s="10"/>
    </row>
    <row r="2" spans="1:23" x14ac:dyDescent="0.25">
      <c r="A2" s="11" t="s">
        <v>10</v>
      </c>
      <c r="B2" s="12"/>
      <c r="C2" s="12"/>
      <c r="D2" s="12"/>
      <c r="E2" s="12"/>
      <c r="F2" s="12"/>
      <c r="G2" s="12"/>
      <c r="H2" s="12"/>
      <c r="I2" s="12"/>
      <c r="J2" s="12"/>
      <c r="K2" s="12"/>
      <c r="L2" s="12"/>
      <c r="M2" s="12"/>
      <c r="N2" s="12"/>
      <c r="O2" s="12"/>
      <c r="P2" s="12"/>
      <c r="Q2" s="12"/>
      <c r="R2" s="12"/>
      <c r="S2" s="12"/>
      <c r="T2" s="12"/>
      <c r="U2" s="12"/>
      <c r="V2" s="12"/>
      <c r="W2" s="12"/>
    </row>
    <row r="4" spans="1:23" x14ac:dyDescent="0.25">
      <c r="A4" s="21" t="s">
        <v>62</v>
      </c>
      <c r="B4" s="22" t="s">
        <v>63</v>
      </c>
      <c r="C4" s="23">
        <f>=IF(1&lt;=INDEX(Assumptions!B:B,MATCH("Years to stability",Assumptions!A:A,0)),"FY+1",IF(1=INDEX(Assumptions!B:B,MATCH("Years to stability",Assumptions!A:A,0))+1,"Stability",""))</f>
      </c>
      <c r="D4" s="23">
        <f>=IF(2&lt;=INDEX(Assumptions!B:B,MATCH("Years to stability",Assumptions!A:A,0)),"FY+2",IF(2=INDEX(Assumptions!B:B,MATCH("Years to stability",Assumptions!A:A,0))+1,"Stability",""))</f>
      </c>
      <c r="E4" s="23">
        <f>=IF(3&lt;=INDEX(Assumptions!B:B,MATCH("Years to stability",Assumptions!A:A,0)),"FY+3",IF(3=INDEX(Assumptions!B:B,MATCH("Years to stability",Assumptions!A:A,0))+1,"Stability",""))</f>
      </c>
      <c r="F4" s="23">
        <f>=IF(4&lt;=INDEX(Assumptions!B:B,MATCH("Years to stability",Assumptions!A:A,0)),"FY+4",IF(4=INDEX(Assumptions!B:B,MATCH("Years to stability",Assumptions!A:A,0))+1,"Stability",""))</f>
      </c>
      <c r="G4" s="23">
        <f>=IF(5&lt;=INDEX(Assumptions!B:B,MATCH("Years to stability",Assumptions!A:A,0)),"FY+5",IF(5=INDEX(Assumptions!B:B,MATCH("Years to stability",Assumptions!A:A,0))+1,"Stability",""))</f>
      </c>
      <c r="H4" s="23">
        <f>=IF(6&lt;=INDEX(Assumptions!B:B,MATCH("Years to stability",Assumptions!A:A,0)),"FY+6",IF(6=INDEX(Assumptions!B:B,MATCH("Years to stability",Assumptions!A:A,0))+1,"Stability",""))</f>
      </c>
      <c r="I4" s="23">
        <f>=IF(7&lt;=INDEX(Assumptions!B:B,MATCH("Years to stability",Assumptions!A:A,0)),"FY+7",IF(7=INDEX(Assumptions!B:B,MATCH("Years to stability",Assumptions!A:A,0))+1,"Stability",""))</f>
      </c>
      <c r="J4" s="23">
        <f>=IF(8&lt;=INDEX(Assumptions!B:B,MATCH("Years to stability",Assumptions!A:A,0)),"FY+8",IF(8=INDEX(Assumptions!B:B,MATCH("Years to stability",Assumptions!A:A,0))+1,"Stability",""))</f>
      </c>
      <c r="K4" s="23">
        <f>=IF(9&lt;=INDEX(Assumptions!B:B,MATCH("Years to stability",Assumptions!A:A,0)),"FY+9",IF(9=INDEX(Assumptions!B:B,MATCH("Years to stability",Assumptions!A:A,0))+1,"Stability",""))</f>
      </c>
      <c r="L4" s="23">
        <f>=IF(10&lt;=INDEX(Assumptions!B:B,MATCH("Years to stability",Assumptions!A:A,0)),"FY+10",IF(10=INDEX(Assumptions!B:B,MATCH("Years to stability",Assumptions!A:A,0))+1,"Stability",""))</f>
      </c>
      <c r="M4" s="23">
        <f>=IF(11&lt;=INDEX(Assumptions!B:B,MATCH("Years to stability",Assumptions!A:A,0)),"FY+11",IF(11=INDEX(Assumptions!B:B,MATCH("Years to stability",Assumptions!A:A,0))+1,"Stability",""))</f>
      </c>
      <c r="N4" s="23">
        <f>=IF(12&lt;=INDEX(Assumptions!B:B,MATCH("Years to stability",Assumptions!A:A,0)),"FY+12",IF(12=INDEX(Assumptions!B:B,MATCH("Years to stability",Assumptions!A:A,0))+1,"Stability",""))</f>
      </c>
      <c r="O4" s="23">
        <f>=IF(13&lt;=INDEX(Assumptions!B:B,MATCH("Years to stability",Assumptions!A:A,0)),"FY+13",IF(13=INDEX(Assumptions!B:B,MATCH("Years to stability",Assumptions!A:A,0))+1,"Stability",""))</f>
      </c>
      <c r="P4" s="23">
        <f>=IF(14&lt;=INDEX(Assumptions!B:B,MATCH("Years to stability",Assumptions!A:A,0)),"FY+14",IF(14=INDEX(Assumptions!B:B,MATCH("Years to stability",Assumptions!A:A,0))+1,"Stability",""))</f>
      </c>
      <c r="Q4" s="23">
        <f>=IF(15&lt;=INDEX(Assumptions!B:B,MATCH("Years to stability",Assumptions!A:A,0)),"FY+15",IF(15=INDEX(Assumptions!B:B,MATCH("Years to stability",Assumptions!A:A,0))+1,"Stability",""))</f>
      </c>
      <c r="R4" s="23">
        <f>=IF(16&lt;=INDEX(Assumptions!B:B,MATCH("Years to stability",Assumptions!A:A,0)),"FY+16",IF(16=INDEX(Assumptions!B:B,MATCH("Years to stability",Assumptions!A:A,0))+1,"Stability",""))</f>
      </c>
      <c r="S4" s="23">
        <f>=IF(17&lt;=INDEX(Assumptions!B:B,MATCH("Years to stability",Assumptions!A:A,0)),"FY+17",IF(17=INDEX(Assumptions!B:B,MATCH("Years to stability",Assumptions!A:A,0))+1,"Stability",""))</f>
      </c>
      <c r="T4" s="23">
        <f>=IF(18&lt;=INDEX(Assumptions!B:B,MATCH("Years to stability",Assumptions!A:A,0)),"FY+18",IF(18=INDEX(Assumptions!B:B,MATCH("Years to stability",Assumptions!A:A,0))+1,"Stability",""))</f>
      </c>
      <c r="U4" s="23">
        <f>=IF(19&lt;=INDEX(Assumptions!B:B,MATCH("Years to stability",Assumptions!A:A,0)),"FY+19",IF(19=INDEX(Assumptions!B:B,MATCH("Years to stability",Assumptions!A:A,0))+1,"Stability",""))</f>
      </c>
      <c r="V4" s="23">
        <f>=IF(20&lt;=INDEX(Assumptions!B:B,MATCH("Years to stability",Assumptions!A:A,0)),"FY+20",IF(20=INDEX(Assumptions!B:B,MATCH("Years to stability",Assumptions!A:A,0))+1,"Stability",""))</f>
      </c>
      <c r="W4" s="23">
        <f>=IF(21&lt;=INDEX(Assumptions!B:B,MATCH("Years to stability",Assumptions!A:A,0)),"FY+21",IF(21=INDEX(Assumptions!B:B,MATCH("Years to stability",Assumptions!A:A,0))+1,"Stability",""))</f>
      </c>
    </row>
    <row r="5" spans="1:23" x14ac:dyDescent="0.25">
      <c r="A5" s="11" t="s">
        <v>64</v>
      </c>
      <c r="B5" s="24">
        <f>=INDEX(Financials!B:B,MATCH("Revenue",Financials!A:A,0))</f>
      </c>
      <c r="C5" s="24">
        <f>=IF(1&lt;=INDEX(Assumptions!B:B,MATCH("Years to stability",Assumptions!A:A,0))+1,B5*(1+C6),"")</f>
      </c>
      <c r="D5" s="24">
        <f>=IF(2&lt;=INDEX(Assumptions!B:B,MATCH("Years to stability",Assumptions!A:A,0))+1,C5*(1+D6),"")</f>
      </c>
      <c r="E5" s="24">
        <f>=IF(3&lt;=INDEX(Assumptions!B:B,MATCH("Years to stability",Assumptions!A:A,0))+1,D5*(1+E6),"")</f>
      </c>
      <c r="F5" s="24">
        <f>=IF(4&lt;=INDEX(Assumptions!B:B,MATCH("Years to stability",Assumptions!A:A,0))+1,E5*(1+F6),"")</f>
      </c>
      <c r="G5" s="24">
        <f>=IF(5&lt;=INDEX(Assumptions!B:B,MATCH("Years to stability",Assumptions!A:A,0))+1,F5*(1+G6),"")</f>
      </c>
      <c r="H5" s="24">
        <f>=IF(6&lt;=INDEX(Assumptions!B:B,MATCH("Years to stability",Assumptions!A:A,0))+1,G5*(1+H6),"")</f>
      </c>
      <c r="I5" s="24">
        <f>=IF(7&lt;=INDEX(Assumptions!B:B,MATCH("Years to stability",Assumptions!A:A,0))+1,H5*(1+I6),"")</f>
      </c>
      <c r="J5" s="24">
        <f>=IF(8&lt;=INDEX(Assumptions!B:B,MATCH("Years to stability",Assumptions!A:A,0))+1,I5*(1+J6),"")</f>
      </c>
      <c r="K5" s="24">
        <f>=IF(9&lt;=INDEX(Assumptions!B:B,MATCH("Years to stability",Assumptions!A:A,0))+1,J5*(1+K6),"")</f>
      </c>
      <c r="L5" s="24">
        <f>=IF(10&lt;=INDEX(Assumptions!B:B,MATCH("Years to stability",Assumptions!A:A,0))+1,K5*(1+L6),"")</f>
      </c>
      <c r="M5" s="24">
        <f>=IF(11&lt;=INDEX(Assumptions!B:B,MATCH("Years to stability",Assumptions!A:A,0))+1,L5*(1+M6),"")</f>
      </c>
      <c r="N5" s="24">
        <f>=IF(12&lt;=INDEX(Assumptions!B:B,MATCH("Years to stability",Assumptions!A:A,0))+1,M5*(1+N6),"")</f>
      </c>
      <c r="O5" s="24">
        <f>=IF(13&lt;=INDEX(Assumptions!B:B,MATCH("Years to stability",Assumptions!A:A,0))+1,N5*(1+O6),"")</f>
      </c>
      <c r="P5" s="24">
        <f>=IF(14&lt;=INDEX(Assumptions!B:B,MATCH("Years to stability",Assumptions!A:A,0))+1,O5*(1+P6),"")</f>
      </c>
      <c r="Q5" s="24">
        <f>=IF(15&lt;=INDEX(Assumptions!B:B,MATCH("Years to stability",Assumptions!A:A,0))+1,P5*(1+Q6),"")</f>
      </c>
      <c r="R5" s="24">
        <f>=IF(16&lt;=INDEX(Assumptions!B:B,MATCH("Years to stability",Assumptions!A:A,0))+1,Q5*(1+R6),"")</f>
      </c>
      <c r="S5" s="24">
        <f>=IF(17&lt;=INDEX(Assumptions!B:B,MATCH("Years to stability",Assumptions!A:A,0))+1,R5*(1+S6),"")</f>
      </c>
      <c r="T5" s="24">
        <f>=IF(18&lt;=INDEX(Assumptions!B:B,MATCH("Years to stability",Assumptions!A:A,0))+1,S5*(1+T6),"")</f>
      </c>
      <c r="U5" s="24">
        <f>=IF(19&lt;=INDEX(Assumptions!B:B,MATCH("Years to stability",Assumptions!A:A,0))+1,T5*(1+U6),"")</f>
      </c>
      <c r="V5" s="24">
        <f>=IF(20&lt;=INDEX(Assumptions!B:B,MATCH("Years to stability",Assumptions!A:A,0))+1,U5*(1+V6),"")</f>
      </c>
      <c r="W5" s="24">
        <f>=IF(21&lt;=INDEX(Assumptions!B:B,MATCH("Years to stability",Assumptions!A:A,0))+1,V5*(1+W6),"")</f>
      </c>
    </row>
    <row r="6" spans="1:23" x14ac:dyDescent="0.25">
      <c r="A6" s="11" t="s">
        <v>65</v>
      </c>
      <c r="B6" s="25">
        <f>=INDEX(Financials!B:B,MATCH("YoY Growth",Financials!A:A,0))</f>
      </c>
      <c r="C6" s="25">
        <f>=IF(1&gt;INDEX(Assumptions!B:B,MATCH("Years to stability",Assumptions!A:A,0))+1,"",IF(1=INDEX(Assumptions!B:B,MATCH("Years to stability",Assumptions!A:A,0))+1,INDEX(Assumptions!B:B,MATCH("Stable growth rate",Assumptions!A:A,0)),IF(INDEX(Assumptions!B:B,MATCH("Years to stability",Assumptions!A:A,0))=1,INDEX(Assumptions!B:B,MATCH("Revenue growth rate",Assumptions!A:A,0)),IF(1&lt;=INT(INDEX(Assumptions!B:B,MATCH("Years to stability",Assumptions!A:A,0))/2),INDEX(Assumptions!B:B,MATCH("Revenue growth rate",Assumptions!A:A,0)),INDEX(Assumptions!B:B,MATCH("Revenue growth rate",Assumptions!A:A,0))+(((1-INT(INDEX(Assumptions!B:B,MATCH("Years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D6" s="25">
        <f>=IF(2&gt;INDEX(Assumptions!B:B,MATCH("Years to stability",Assumptions!A:A,0))+1,"",IF(2=INDEX(Assumptions!B:B,MATCH("Years to stability",Assumptions!A:A,0))+1,INDEX(Assumptions!B:B,MATCH("Stable growth rate",Assumptions!A:A,0)),IF(INDEX(Assumptions!B:B,MATCH("Years to stability",Assumptions!A:A,0))=1,INDEX(Assumptions!B:B,MATCH("Revenue growth rate",Assumptions!A:A,0)),IF(2&lt;=INT(INDEX(Assumptions!B:B,MATCH("Years to stability",Assumptions!A:A,0))/2),INDEX(Assumptions!B:B,MATCH("Revenue growth rate",Assumptions!A:A,0)),INDEX(Assumptions!B:B,MATCH("Revenue growth rate",Assumptions!A:A,0))+(((2-INT(INDEX(Assumptions!B:B,MATCH("Years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E6" s="25">
        <f>=IF(3&gt;INDEX(Assumptions!B:B,MATCH("Years to stability",Assumptions!A:A,0))+1,"",IF(3=INDEX(Assumptions!B:B,MATCH("Years to stability",Assumptions!A:A,0))+1,INDEX(Assumptions!B:B,MATCH("Stable growth rate",Assumptions!A:A,0)),IF(INDEX(Assumptions!B:B,MATCH("Years to stability",Assumptions!A:A,0))=1,INDEX(Assumptions!B:B,MATCH("Revenue growth rate",Assumptions!A:A,0)),IF(3&lt;=INT(INDEX(Assumptions!B:B,MATCH("Years to stability",Assumptions!A:A,0))/2),INDEX(Assumptions!B:B,MATCH("Revenue growth rate",Assumptions!A:A,0)),INDEX(Assumptions!B:B,MATCH("Revenue growth rate",Assumptions!A:A,0))+(((3-INT(INDEX(Assumptions!B:B,MATCH("Years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F6" s="25">
        <f>=IF(4&gt;INDEX(Assumptions!B:B,MATCH("Years to stability",Assumptions!A:A,0))+1,"",IF(4=INDEX(Assumptions!B:B,MATCH("Years to stability",Assumptions!A:A,0))+1,INDEX(Assumptions!B:B,MATCH("Stable growth rate",Assumptions!A:A,0)),IF(INDEX(Assumptions!B:B,MATCH("Years to stability",Assumptions!A:A,0))=1,INDEX(Assumptions!B:B,MATCH("Revenue growth rate",Assumptions!A:A,0)),IF(4&lt;=INT(INDEX(Assumptions!B:B,MATCH("Years to stability",Assumptions!A:A,0))/2),INDEX(Assumptions!B:B,MATCH("Revenue growth rate",Assumptions!A:A,0)),INDEX(Assumptions!B:B,MATCH("Revenue growth rate",Assumptions!A:A,0))+(((4-INT(INDEX(Assumptions!B:B,MATCH("Years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G6" s="25">
        <f>=IF(5&gt;INDEX(Assumptions!B:B,MATCH("Years to stability",Assumptions!A:A,0))+1,"",IF(5=INDEX(Assumptions!B:B,MATCH("Years to stability",Assumptions!A:A,0))+1,INDEX(Assumptions!B:B,MATCH("Stable growth rate",Assumptions!A:A,0)),IF(INDEX(Assumptions!B:B,MATCH("Years to stability",Assumptions!A:A,0))=1,INDEX(Assumptions!B:B,MATCH("Revenue growth rate",Assumptions!A:A,0)),IF(5&lt;=INT(INDEX(Assumptions!B:B,MATCH("Years to stability",Assumptions!A:A,0))/2),INDEX(Assumptions!B:B,MATCH("Revenue growth rate",Assumptions!A:A,0)),INDEX(Assumptions!B:B,MATCH("Revenue growth rate",Assumptions!A:A,0))+(((5-INT(INDEX(Assumptions!B:B,MATCH("Years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H6" s="25">
        <f>=IF(6&gt;INDEX(Assumptions!B:B,MATCH("Years to stability",Assumptions!A:A,0))+1,"",IF(6=INDEX(Assumptions!B:B,MATCH("Years to stability",Assumptions!A:A,0))+1,INDEX(Assumptions!B:B,MATCH("Stable growth rate",Assumptions!A:A,0)),IF(INDEX(Assumptions!B:B,MATCH("Years to stability",Assumptions!A:A,0))=1,INDEX(Assumptions!B:B,MATCH("Revenue growth rate",Assumptions!A:A,0)),IF(6&lt;=INT(INDEX(Assumptions!B:B,MATCH("Years to stability",Assumptions!A:A,0))/2),INDEX(Assumptions!B:B,MATCH("Revenue growth rate",Assumptions!A:A,0)),INDEX(Assumptions!B:B,MATCH("Revenue growth rate",Assumptions!A:A,0))+(((6-INT(INDEX(Assumptions!B:B,MATCH("Years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I6" s="25">
        <f>=IF(7&gt;INDEX(Assumptions!B:B,MATCH("Years to stability",Assumptions!A:A,0))+1,"",IF(7=INDEX(Assumptions!B:B,MATCH("Years to stability",Assumptions!A:A,0))+1,INDEX(Assumptions!B:B,MATCH("Stable growth rate",Assumptions!A:A,0)),IF(INDEX(Assumptions!B:B,MATCH("Years to stability",Assumptions!A:A,0))=1,INDEX(Assumptions!B:B,MATCH("Revenue growth rate",Assumptions!A:A,0)),IF(7&lt;=INT(INDEX(Assumptions!B:B,MATCH("Years to stability",Assumptions!A:A,0))/2),INDEX(Assumptions!B:B,MATCH("Revenue growth rate",Assumptions!A:A,0)),INDEX(Assumptions!B:B,MATCH("Revenue growth rate",Assumptions!A:A,0))+(((7-INT(INDEX(Assumptions!B:B,MATCH("Years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J6" s="25">
        <f>=IF(8&gt;INDEX(Assumptions!B:B,MATCH("Years to stability",Assumptions!A:A,0))+1,"",IF(8=INDEX(Assumptions!B:B,MATCH("Years to stability",Assumptions!A:A,0))+1,INDEX(Assumptions!B:B,MATCH("Stable growth rate",Assumptions!A:A,0)),IF(INDEX(Assumptions!B:B,MATCH("Years to stability",Assumptions!A:A,0))=1,INDEX(Assumptions!B:B,MATCH("Revenue growth rate",Assumptions!A:A,0)),IF(8&lt;=INT(INDEX(Assumptions!B:B,MATCH("Years to stability",Assumptions!A:A,0))/2),INDEX(Assumptions!B:B,MATCH("Revenue growth rate",Assumptions!A:A,0)),INDEX(Assumptions!B:B,MATCH("Revenue growth rate",Assumptions!A:A,0))+(((8-INT(INDEX(Assumptions!B:B,MATCH("Years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K6" s="25">
        <f>=IF(9&gt;INDEX(Assumptions!B:B,MATCH("Years to stability",Assumptions!A:A,0))+1,"",IF(9=INDEX(Assumptions!B:B,MATCH("Years to stability",Assumptions!A:A,0))+1,INDEX(Assumptions!B:B,MATCH("Stable growth rate",Assumptions!A:A,0)),IF(INDEX(Assumptions!B:B,MATCH("Years to stability",Assumptions!A:A,0))=1,INDEX(Assumptions!B:B,MATCH("Revenue growth rate",Assumptions!A:A,0)),IF(9&lt;=INT(INDEX(Assumptions!B:B,MATCH("Years to stability",Assumptions!A:A,0))/2),INDEX(Assumptions!B:B,MATCH("Revenue growth rate",Assumptions!A:A,0)),INDEX(Assumptions!B:B,MATCH("Revenue growth rate",Assumptions!A:A,0))+(((9-INT(INDEX(Assumptions!B:B,MATCH("Years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L6" s="25">
        <f>=IF(10&gt;INDEX(Assumptions!B:B,MATCH("Years to stability",Assumptions!A:A,0))+1,"",IF(10=INDEX(Assumptions!B:B,MATCH("Years to stability",Assumptions!A:A,0))+1,INDEX(Assumptions!B:B,MATCH("Stable growth rate",Assumptions!A:A,0)),IF(INDEX(Assumptions!B:B,MATCH("Years to stability",Assumptions!A:A,0))=1,INDEX(Assumptions!B:B,MATCH("Revenue growth rate",Assumptions!A:A,0)),IF(10&lt;=INT(INDEX(Assumptions!B:B,MATCH("Years to stability",Assumptions!A:A,0))/2),INDEX(Assumptions!B:B,MATCH("Revenue growth rate",Assumptions!A:A,0)),INDEX(Assumptions!B:B,MATCH("Revenue growth rate",Assumptions!A:A,0))+(((10-INT(INDEX(Assumptions!B:B,MATCH("Years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M6" s="25">
        <f>=IF(11&gt;INDEX(Assumptions!B:B,MATCH("Years to stability",Assumptions!A:A,0))+1,"",IF(11=INDEX(Assumptions!B:B,MATCH("Years to stability",Assumptions!A:A,0))+1,INDEX(Assumptions!B:B,MATCH("Stable growth rate",Assumptions!A:A,0)),IF(INDEX(Assumptions!B:B,MATCH("Years to stability",Assumptions!A:A,0))=1,INDEX(Assumptions!B:B,MATCH("Revenue growth rate",Assumptions!A:A,0)),IF(11&lt;=INT(INDEX(Assumptions!B:B,MATCH("Years to stability",Assumptions!A:A,0))/2),INDEX(Assumptions!B:B,MATCH("Revenue growth rate",Assumptions!A:A,0)),INDEX(Assumptions!B:B,MATCH("Revenue growth rate",Assumptions!A:A,0))+(((11-INT(INDEX(Assumptions!B:B,MATCH("Years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N6" s="25">
        <f>=IF(12&gt;INDEX(Assumptions!B:B,MATCH("Years to stability",Assumptions!A:A,0))+1,"",IF(12=INDEX(Assumptions!B:B,MATCH("Years to stability",Assumptions!A:A,0))+1,INDEX(Assumptions!B:B,MATCH("Stable growth rate",Assumptions!A:A,0)),IF(INDEX(Assumptions!B:B,MATCH("Years to stability",Assumptions!A:A,0))=1,INDEX(Assumptions!B:B,MATCH("Revenue growth rate",Assumptions!A:A,0)),IF(12&lt;=INT(INDEX(Assumptions!B:B,MATCH("Years to stability",Assumptions!A:A,0))/2),INDEX(Assumptions!B:B,MATCH("Revenue growth rate",Assumptions!A:A,0)),INDEX(Assumptions!B:B,MATCH("Revenue growth rate",Assumptions!A:A,0))+(((12-INT(INDEX(Assumptions!B:B,MATCH("Years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O6" s="25">
        <f>=IF(13&gt;INDEX(Assumptions!B:B,MATCH("Years to stability",Assumptions!A:A,0))+1,"",IF(13=INDEX(Assumptions!B:B,MATCH("Years to stability",Assumptions!A:A,0))+1,INDEX(Assumptions!B:B,MATCH("Stable growth rate",Assumptions!A:A,0)),IF(INDEX(Assumptions!B:B,MATCH("Years to stability",Assumptions!A:A,0))=1,INDEX(Assumptions!B:B,MATCH("Revenue growth rate",Assumptions!A:A,0)),IF(13&lt;=INT(INDEX(Assumptions!B:B,MATCH("Years to stability",Assumptions!A:A,0))/2),INDEX(Assumptions!B:B,MATCH("Revenue growth rate",Assumptions!A:A,0)),INDEX(Assumptions!B:B,MATCH("Revenue growth rate",Assumptions!A:A,0))+(((13-INT(INDEX(Assumptions!B:B,MATCH("Years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P6" s="25">
        <f>=IF(14&gt;INDEX(Assumptions!B:B,MATCH("Years to stability",Assumptions!A:A,0))+1,"",IF(14=INDEX(Assumptions!B:B,MATCH("Years to stability",Assumptions!A:A,0))+1,INDEX(Assumptions!B:B,MATCH("Stable growth rate",Assumptions!A:A,0)),IF(INDEX(Assumptions!B:B,MATCH("Years to stability",Assumptions!A:A,0))=1,INDEX(Assumptions!B:B,MATCH("Revenue growth rate",Assumptions!A:A,0)),IF(14&lt;=INT(INDEX(Assumptions!B:B,MATCH("Years to stability",Assumptions!A:A,0))/2),INDEX(Assumptions!B:B,MATCH("Revenue growth rate",Assumptions!A:A,0)),INDEX(Assumptions!B:B,MATCH("Revenue growth rate",Assumptions!A:A,0))+(((14-INT(INDEX(Assumptions!B:B,MATCH("Years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Q6" s="25">
        <f>=IF(15&gt;INDEX(Assumptions!B:B,MATCH("Years to stability",Assumptions!A:A,0))+1,"",IF(15=INDEX(Assumptions!B:B,MATCH("Years to stability",Assumptions!A:A,0))+1,INDEX(Assumptions!B:B,MATCH("Stable growth rate",Assumptions!A:A,0)),IF(INDEX(Assumptions!B:B,MATCH("Years to stability",Assumptions!A:A,0))=1,INDEX(Assumptions!B:B,MATCH("Revenue growth rate",Assumptions!A:A,0)),IF(15&lt;=INT(INDEX(Assumptions!B:B,MATCH("Years to stability",Assumptions!A:A,0))/2),INDEX(Assumptions!B:B,MATCH("Revenue growth rate",Assumptions!A:A,0)),INDEX(Assumptions!B:B,MATCH("Revenue growth rate",Assumptions!A:A,0))+(((15-INT(INDEX(Assumptions!B:B,MATCH("Years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R6" s="25">
        <f>=IF(16&gt;INDEX(Assumptions!B:B,MATCH("Years to stability",Assumptions!A:A,0))+1,"",IF(16=INDEX(Assumptions!B:B,MATCH("Years to stability",Assumptions!A:A,0))+1,INDEX(Assumptions!B:B,MATCH("Stable growth rate",Assumptions!A:A,0)),IF(INDEX(Assumptions!B:B,MATCH("Years to stability",Assumptions!A:A,0))=1,INDEX(Assumptions!B:B,MATCH("Revenue growth rate",Assumptions!A:A,0)),IF(16&lt;=INT(INDEX(Assumptions!B:B,MATCH("Years to stability",Assumptions!A:A,0))/2),INDEX(Assumptions!B:B,MATCH("Revenue growth rate",Assumptions!A:A,0)),INDEX(Assumptions!B:B,MATCH("Revenue growth rate",Assumptions!A:A,0))+(((16-INT(INDEX(Assumptions!B:B,MATCH("Years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S6" s="25">
        <f>=IF(17&gt;INDEX(Assumptions!B:B,MATCH("Years to stability",Assumptions!A:A,0))+1,"",IF(17=INDEX(Assumptions!B:B,MATCH("Years to stability",Assumptions!A:A,0))+1,INDEX(Assumptions!B:B,MATCH("Stable growth rate",Assumptions!A:A,0)),IF(INDEX(Assumptions!B:B,MATCH("Years to stability",Assumptions!A:A,0))=1,INDEX(Assumptions!B:B,MATCH("Revenue growth rate",Assumptions!A:A,0)),IF(17&lt;=INT(INDEX(Assumptions!B:B,MATCH("Years to stability",Assumptions!A:A,0))/2),INDEX(Assumptions!B:B,MATCH("Revenue growth rate",Assumptions!A:A,0)),INDEX(Assumptions!B:B,MATCH("Revenue growth rate",Assumptions!A:A,0))+(((17-INT(INDEX(Assumptions!B:B,MATCH("Years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T6" s="25">
        <f>=IF(18&gt;INDEX(Assumptions!B:B,MATCH("Years to stability",Assumptions!A:A,0))+1,"",IF(18=INDEX(Assumptions!B:B,MATCH("Years to stability",Assumptions!A:A,0))+1,INDEX(Assumptions!B:B,MATCH("Stable growth rate",Assumptions!A:A,0)),IF(INDEX(Assumptions!B:B,MATCH("Years to stability",Assumptions!A:A,0))=1,INDEX(Assumptions!B:B,MATCH("Revenue growth rate",Assumptions!A:A,0)),IF(18&lt;=INT(INDEX(Assumptions!B:B,MATCH("Years to stability",Assumptions!A:A,0))/2),INDEX(Assumptions!B:B,MATCH("Revenue growth rate",Assumptions!A:A,0)),INDEX(Assumptions!B:B,MATCH("Revenue growth rate",Assumptions!A:A,0))+(((18-INT(INDEX(Assumptions!B:B,MATCH("Years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U6" s="25">
        <f>=IF(19&gt;INDEX(Assumptions!B:B,MATCH("Years to stability",Assumptions!A:A,0))+1,"",IF(19=INDEX(Assumptions!B:B,MATCH("Years to stability",Assumptions!A:A,0))+1,INDEX(Assumptions!B:B,MATCH("Stable growth rate",Assumptions!A:A,0)),IF(INDEX(Assumptions!B:B,MATCH("Years to stability",Assumptions!A:A,0))=1,INDEX(Assumptions!B:B,MATCH("Revenue growth rate",Assumptions!A:A,0)),IF(19&lt;=INT(INDEX(Assumptions!B:B,MATCH("Years to stability",Assumptions!A:A,0))/2),INDEX(Assumptions!B:B,MATCH("Revenue growth rate",Assumptions!A:A,0)),INDEX(Assumptions!B:B,MATCH("Revenue growth rate",Assumptions!A:A,0))+(((19-INT(INDEX(Assumptions!B:B,MATCH("Years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V6" s="25">
        <f>=IF(20&gt;INDEX(Assumptions!B:B,MATCH("Years to stability",Assumptions!A:A,0))+1,"",IF(20=INDEX(Assumptions!B:B,MATCH("Years to stability",Assumptions!A:A,0))+1,INDEX(Assumptions!B:B,MATCH("Stable growth rate",Assumptions!A:A,0)),IF(INDEX(Assumptions!B:B,MATCH("Years to stability",Assumptions!A:A,0))=1,INDEX(Assumptions!B:B,MATCH("Revenue growth rate",Assumptions!A:A,0)),IF(20&lt;=INT(INDEX(Assumptions!B:B,MATCH("Years to stability",Assumptions!A:A,0))/2),INDEX(Assumptions!B:B,MATCH("Revenue growth rate",Assumptions!A:A,0)),INDEX(Assumptions!B:B,MATCH("Revenue growth rate",Assumptions!A:A,0))+(((20-INT(INDEX(Assumptions!B:B,MATCH("Years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W6" s="25">
        <f>=IF(21&gt;INDEX(Assumptions!B:B,MATCH("Years to stability",Assumptions!A:A,0))+1,"",IF(21=INDEX(Assumptions!B:B,MATCH("Years to stability",Assumptions!A:A,0))+1,INDEX(Assumptions!B:B,MATCH("Stable growth rate",Assumptions!A:A,0)),IF(INDEX(Assumptions!B:B,MATCH("Years to stability",Assumptions!A:A,0))=1,INDEX(Assumptions!B:B,MATCH("Revenue growth rate",Assumptions!A:A,0)),IF(21&lt;=INT(INDEX(Assumptions!B:B,MATCH("Years to stability",Assumptions!A:A,0))/2),INDEX(Assumptions!B:B,MATCH("Revenue growth rate",Assumptions!A:A,0)),INDEX(Assumptions!B:B,MATCH("Revenue growth rate",Assumptions!A:A,0))+(((21-INT(INDEX(Assumptions!B:B,MATCH("Years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row>
    <row r="7" spans="1:23" x14ac:dyDescent="0.25">
      <c r="A7" s="11" t="s">
        <v>66</v>
      </c>
      <c r="B7" s="24">
        <f>=B5-B8</f>
      </c>
      <c r="C7" s="24">
        <f>=IF(1&lt;=INDEX(Assumptions!B:B,MATCH("Years to stability",Assumptions!A:A,0))+1,C5-C8,"")</f>
      </c>
      <c r="D7" s="24">
        <f>=IF(2&lt;=INDEX(Assumptions!B:B,MATCH("Years to stability",Assumptions!A:A,0))+1,D5-D8,"")</f>
      </c>
      <c r="E7" s="24">
        <f>=IF(3&lt;=INDEX(Assumptions!B:B,MATCH("Years to stability",Assumptions!A:A,0))+1,E5-E8,"")</f>
      </c>
      <c r="F7" s="24">
        <f>=IF(4&lt;=INDEX(Assumptions!B:B,MATCH("Years to stability",Assumptions!A:A,0))+1,F5-F8,"")</f>
      </c>
      <c r="G7" s="24">
        <f>=IF(5&lt;=INDEX(Assumptions!B:B,MATCH("Years to stability",Assumptions!A:A,0))+1,G5-G8,"")</f>
      </c>
      <c r="H7" s="24">
        <f>=IF(6&lt;=INDEX(Assumptions!B:B,MATCH("Years to stability",Assumptions!A:A,0))+1,H5-H8,"")</f>
      </c>
      <c r="I7" s="24">
        <f>=IF(7&lt;=INDEX(Assumptions!B:B,MATCH("Years to stability",Assumptions!A:A,0))+1,I5-I8,"")</f>
      </c>
      <c r="J7" s="24">
        <f>=IF(8&lt;=INDEX(Assumptions!B:B,MATCH("Years to stability",Assumptions!A:A,0))+1,J5-J8,"")</f>
      </c>
      <c r="K7" s="24">
        <f>=IF(9&lt;=INDEX(Assumptions!B:B,MATCH("Years to stability",Assumptions!A:A,0))+1,K5-K8,"")</f>
      </c>
      <c r="L7" s="24">
        <f>=IF(10&lt;=INDEX(Assumptions!B:B,MATCH("Years to stability",Assumptions!A:A,0))+1,L5-L8,"")</f>
      </c>
      <c r="M7" s="24">
        <f>=IF(11&lt;=INDEX(Assumptions!B:B,MATCH("Years to stability",Assumptions!A:A,0))+1,M5-M8,"")</f>
      </c>
      <c r="N7" s="24">
        <f>=IF(12&lt;=INDEX(Assumptions!B:B,MATCH("Years to stability",Assumptions!A:A,0))+1,N5-N8,"")</f>
      </c>
      <c r="O7" s="24">
        <f>=IF(13&lt;=INDEX(Assumptions!B:B,MATCH("Years to stability",Assumptions!A:A,0))+1,O5-O8,"")</f>
      </c>
      <c r="P7" s="24">
        <f>=IF(14&lt;=INDEX(Assumptions!B:B,MATCH("Years to stability",Assumptions!A:A,0))+1,P5-P8,"")</f>
      </c>
      <c r="Q7" s="24">
        <f>=IF(15&lt;=INDEX(Assumptions!B:B,MATCH("Years to stability",Assumptions!A:A,0))+1,Q5-Q8,"")</f>
      </c>
      <c r="R7" s="24">
        <f>=IF(16&lt;=INDEX(Assumptions!B:B,MATCH("Years to stability",Assumptions!A:A,0))+1,R5-R8,"")</f>
      </c>
      <c r="S7" s="24">
        <f>=IF(17&lt;=INDEX(Assumptions!B:B,MATCH("Years to stability",Assumptions!A:A,0))+1,S5-S8,"")</f>
      </c>
      <c r="T7" s="24">
        <f>=IF(18&lt;=INDEX(Assumptions!B:B,MATCH("Years to stability",Assumptions!A:A,0))+1,T5-T8,"")</f>
      </c>
      <c r="U7" s="24">
        <f>=IF(19&lt;=INDEX(Assumptions!B:B,MATCH("Years to stability",Assumptions!A:A,0))+1,U5-U8,"")</f>
      </c>
      <c r="V7" s="24">
        <f>=IF(20&lt;=INDEX(Assumptions!B:B,MATCH("Years to stability",Assumptions!A:A,0))+1,V5-V8,"")</f>
      </c>
      <c r="W7" s="24">
        <f>=IF(21&lt;=INDEX(Assumptions!B:B,MATCH("Years to stability",Assumptions!A:A,0))+1,W5-W8,"")</f>
      </c>
    </row>
    <row r="8" spans="1:23" x14ac:dyDescent="0.25">
      <c r="A8" s="11" t="s">
        <v>67</v>
      </c>
      <c r="B8" s="24">
        <f>=INDEX(Financials!B:B,MATCH("Adjusted Net Profit",Financials!A:A,0))</f>
      </c>
      <c r="C8" s="24">
        <f>=IF(1&lt;=INDEX(Assumptions!B:B,MATCH("Years to stability",Assumptions!A:A,0))+1,C5*C9,"")</f>
      </c>
      <c r="D8" s="24">
        <f>=IF(2&lt;=INDEX(Assumptions!B:B,MATCH("Years to stability",Assumptions!A:A,0))+1,D5*D9,"")</f>
      </c>
      <c r="E8" s="24">
        <f>=IF(3&lt;=INDEX(Assumptions!B:B,MATCH("Years to stability",Assumptions!A:A,0))+1,E5*E9,"")</f>
      </c>
      <c r="F8" s="24">
        <f>=IF(4&lt;=INDEX(Assumptions!B:B,MATCH("Years to stability",Assumptions!A:A,0))+1,F5*F9,"")</f>
      </c>
      <c r="G8" s="24">
        <f>=IF(5&lt;=INDEX(Assumptions!B:B,MATCH("Years to stability",Assumptions!A:A,0))+1,G5*G9,"")</f>
      </c>
      <c r="H8" s="24">
        <f>=IF(6&lt;=INDEX(Assumptions!B:B,MATCH("Years to stability",Assumptions!A:A,0))+1,H5*H9,"")</f>
      </c>
      <c r="I8" s="24">
        <f>=IF(7&lt;=INDEX(Assumptions!B:B,MATCH("Years to stability",Assumptions!A:A,0))+1,I5*I9,"")</f>
      </c>
      <c r="J8" s="24">
        <f>=IF(8&lt;=INDEX(Assumptions!B:B,MATCH("Years to stability",Assumptions!A:A,0))+1,J5*J9,"")</f>
      </c>
      <c r="K8" s="24">
        <f>=IF(9&lt;=INDEX(Assumptions!B:B,MATCH("Years to stability",Assumptions!A:A,0))+1,K5*K9,"")</f>
      </c>
      <c r="L8" s="24">
        <f>=IF(10&lt;=INDEX(Assumptions!B:B,MATCH("Years to stability",Assumptions!A:A,0))+1,L5*L9,"")</f>
      </c>
      <c r="M8" s="24">
        <f>=IF(11&lt;=INDEX(Assumptions!B:B,MATCH("Years to stability",Assumptions!A:A,0))+1,M5*M9,"")</f>
      </c>
      <c r="N8" s="24">
        <f>=IF(12&lt;=INDEX(Assumptions!B:B,MATCH("Years to stability",Assumptions!A:A,0))+1,N5*N9,"")</f>
      </c>
      <c r="O8" s="24">
        <f>=IF(13&lt;=INDEX(Assumptions!B:B,MATCH("Years to stability",Assumptions!A:A,0))+1,O5*O9,"")</f>
      </c>
      <c r="P8" s="24">
        <f>=IF(14&lt;=INDEX(Assumptions!B:B,MATCH("Years to stability",Assumptions!A:A,0))+1,P5*P9,"")</f>
      </c>
      <c r="Q8" s="24">
        <f>=IF(15&lt;=INDEX(Assumptions!B:B,MATCH("Years to stability",Assumptions!A:A,0))+1,Q5*Q9,"")</f>
      </c>
      <c r="R8" s="24">
        <f>=IF(16&lt;=INDEX(Assumptions!B:B,MATCH("Years to stability",Assumptions!A:A,0))+1,R5*R9,"")</f>
      </c>
      <c r="S8" s="24">
        <f>=IF(17&lt;=INDEX(Assumptions!B:B,MATCH("Years to stability",Assumptions!A:A,0))+1,S5*S9,"")</f>
      </c>
      <c r="T8" s="24">
        <f>=IF(18&lt;=INDEX(Assumptions!B:B,MATCH("Years to stability",Assumptions!A:A,0))+1,T5*T9,"")</f>
      </c>
      <c r="U8" s="24">
        <f>=IF(19&lt;=INDEX(Assumptions!B:B,MATCH("Years to stability",Assumptions!A:A,0))+1,U5*U9,"")</f>
      </c>
      <c r="V8" s="24">
        <f>=IF(20&lt;=INDEX(Assumptions!B:B,MATCH("Years to stability",Assumptions!A:A,0))+1,V5*V9,"")</f>
      </c>
      <c r="W8" s="24">
        <f>=IF(21&lt;=INDEX(Assumptions!B:B,MATCH("Years to stability",Assumptions!A:A,0))+1,W5*W9,"")</f>
      </c>
    </row>
    <row r="9" spans="1:23" x14ac:dyDescent="0.25">
      <c r="A9" s="11" t="s">
        <v>68</v>
      </c>
      <c r="B9" s="25">
        <f>=INDEX(Financials!B:B,MATCH("Margin",Financials!A:A,0))</f>
      </c>
      <c r="C9" s="25">
        <f>=IF(1&gt;INDEX(Assumptions!B:B,MATCH("Years to stability",Assumptions!A:A,0))+1,"",IF(INDEX(Assumptions!B:B,MATCH("Margin convergence",Assumptions!A:A,0))=0,INDEX(Assumptions!B:B,MATCH("FY+1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margin",Assumptions!A:A,0))),IF(1-1&gt;=INDEX(Assumptions!B:B,MATCH("Margin convergence",Assumptions!A:A,0)),INDEX(Assumptions!B:B,MATCH("Stable net profit margin",Assumptions!A:A,0)),INDEX(Assumptions!B:B,MATCH("FY+1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f>
      </c>
      <c r="D9" s="25">
        <f>=IF(2&gt;INDEX(Assumptions!B:B,MATCH("Years to stability",Assumptions!A:A,0))+1,"",IF(INDEX(Assumptions!B:B,MATCH("Margin convergence",Assumptions!A:A,0))=0,INDEX(Assumptions!B:B,MATCH("FY+1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margin",Assumptions!A:A,0))),IF(2-1&gt;=INDEX(Assumptions!B:B,MATCH("Margin convergence",Assumptions!A:A,0)),INDEX(Assumptions!B:B,MATCH("Stable net profit margin",Assumptions!A:A,0)),INDEX(Assumptions!B:B,MATCH("FY+1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f>
      </c>
      <c r="E9" s="25">
        <f>=IF(3&gt;INDEX(Assumptions!B:B,MATCH("Years to stability",Assumptions!A:A,0))+1,"",IF(INDEX(Assumptions!B:B,MATCH("Margin convergence",Assumptions!A:A,0))=0,INDEX(Assumptions!B:B,MATCH("FY+1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margin",Assumptions!A:A,0))),IF(3-1&gt;=INDEX(Assumptions!B:B,MATCH("Margin convergence",Assumptions!A:A,0)),INDEX(Assumptions!B:B,MATCH("Stable net profit margin",Assumptions!A:A,0)),INDEX(Assumptions!B:B,MATCH("FY+1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f>
      </c>
      <c r="F9" s="25">
        <f>=IF(4&gt;INDEX(Assumptions!B:B,MATCH("Years to stability",Assumptions!A:A,0))+1,"",IF(INDEX(Assumptions!B:B,MATCH("Margin convergence",Assumptions!A:A,0))=0,INDEX(Assumptions!B:B,MATCH("FY+1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margin",Assumptions!A:A,0))),IF(4-1&gt;=INDEX(Assumptions!B:B,MATCH("Margin convergence",Assumptions!A:A,0)),INDEX(Assumptions!B:B,MATCH("Stable net profit margin",Assumptions!A:A,0)),INDEX(Assumptions!B:B,MATCH("FY+1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f>
      </c>
      <c r="G9" s="25">
        <f>=IF(5&gt;INDEX(Assumptions!B:B,MATCH("Years to stability",Assumptions!A:A,0))+1,"",IF(INDEX(Assumptions!B:B,MATCH("Margin convergence",Assumptions!A:A,0))=0,INDEX(Assumptions!B:B,MATCH("FY+1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margin",Assumptions!A:A,0))),IF(5-1&gt;=INDEX(Assumptions!B:B,MATCH("Margin convergence",Assumptions!A:A,0)),INDEX(Assumptions!B:B,MATCH("Stable net profit margin",Assumptions!A:A,0)),INDEX(Assumptions!B:B,MATCH("FY+1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f>
      </c>
      <c r="H9" s="25">
        <f>=IF(6&gt;INDEX(Assumptions!B:B,MATCH("Years to stability",Assumptions!A:A,0))+1,"",IF(INDEX(Assumptions!B:B,MATCH("Margin convergence",Assumptions!A:A,0))=0,INDEX(Assumptions!B:B,MATCH("FY+1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margin",Assumptions!A:A,0))),IF(6-1&gt;=INDEX(Assumptions!B:B,MATCH("Margin convergence",Assumptions!A:A,0)),INDEX(Assumptions!B:B,MATCH("Stable net profit margin",Assumptions!A:A,0)),INDEX(Assumptions!B:B,MATCH("FY+1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f>
      </c>
      <c r="I9" s="25">
        <f>=IF(7&gt;INDEX(Assumptions!B:B,MATCH("Years to stability",Assumptions!A:A,0))+1,"",IF(INDEX(Assumptions!B:B,MATCH("Margin convergence",Assumptions!A:A,0))=0,INDEX(Assumptions!B:B,MATCH("FY+1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margin",Assumptions!A:A,0))),IF(7-1&gt;=INDEX(Assumptions!B:B,MATCH("Margin convergence",Assumptions!A:A,0)),INDEX(Assumptions!B:B,MATCH("Stable net profit margin",Assumptions!A:A,0)),INDEX(Assumptions!B:B,MATCH("FY+1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f>
      </c>
      <c r="J9" s="25">
        <f>=IF(8&gt;INDEX(Assumptions!B:B,MATCH("Years to stability",Assumptions!A:A,0))+1,"",IF(INDEX(Assumptions!B:B,MATCH("Margin convergence",Assumptions!A:A,0))=0,INDEX(Assumptions!B:B,MATCH("FY+1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margin",Assumptions!A:A,0))),IF(8-1&gt;=INDEX(Assumptions!B:B,MATCH("Margin convergence",Assumptions!A:A,0)),INDEX(Assumptions!B:B,MATCH("Stable net profit margin",Assumptions!A:A,0)),INDEX(Assumptions!B:B,MATCH("FY+1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f>
      </c>
      <c r="K9" s="25">
        <f>=IF(9&gt;INDEX(Assumptions!B:B,MATCH("Years to stability",Assumptions!A:A,0))+1,"",IF(INDEX(Assumptions!B:B,MATCH("Margin convergence",Assumptions!A:A,0))=0,INDEX(Assumptions!B:B,MATCH("FY+1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margin",Assumptions!A:A,0))),IF(9-1&gt;=INDEX(Assumptions!B:B,MATCH("Margin convergence",Assumptions!A:A,0)),INDEX(Assumptions!B:B,MATCH("Stable net profit margin",Assumptions!A:A,0)),INDEX(Assumptions!B:B,MATCH("FY+1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f>
      </c>
      <c r="L9" s="25">
        <f>=IF(10&gt;INDEX(Assumptions!B:B,MATCH("Years to stability",Assumptions!A:A,0))+1,"",IF(INDEX(Assumptions!B:B,MATCH("Margin convergence",Assumptions!A:A,0))=0,INDEX(Assumptions!B:B,MATCH("FY+1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margin",Assumptions!A:A,0))),IF(10-1&gt;=INDEX(Assumptions!B:B,MATCH("Margin convergence",Assumptions!A:A,0)),INDEX(Assumptions!B:B,MATCH("Stable net profit margin",Assumptions!A:A,0)),INDEX(Assumptions!B:B,MATCH("FY+1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f>
      </c>
      <c r="M9" s="25">
        <f>=IF(11&gt;INDEX(Assumptions!B:B,MATCH("Years to stability",Assumptions!A:A,0))+1,"",IF(INDEX(Assumptions!B:B,MATCH("Margin convergence",Assumptions!A:A,0))=0,INDEX(Assumptions!B:B,MATCH("FY+1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margin",Assumptions!A:A,0))),IF(11-1&gt;=INDEX(Assumptions!B:B,MATCH("Margin convergence",Assumptions!A:A,0)),INDEX(Assumptions!B:B,MATCH("Stable net profit margin",Assumptions!A:A,0)),INDEX(Assumptions!B:B,MATCH("FY+1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f>
      </c>
      <c r="N9" s="25">
        <f>=IF(12&gt;INDEX(Assumptions!B:B,MATCH("Years to stability",Assumptions!A:A,0))+1,"",IF(INDEX(Assumptions!B:B,MATCH("Margin convergence",Assumptions!A:A,0))=0,INDEX(Assumptions!B:B,MATCH("FY+1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margin",Assumptions!A:A,0))),IF(12-1&gt;=INDEX(Assumptions!B:B,MATCH("Margin convergence",Assumptions!A:A,0)),INDEX(Assumptions!B:B,MATCH("Stable net profit margin",Assumptions!A:A,0)),INDEX(Assumptions!B:B,MATCH("FY+1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f>
      </c>
      <c r="O9" s="25">
        <f>=IF(13&gt;INDEX(Assumptions!B:B,MATCH("Years to stability",Assumptions!A:A,0))+1,"",IF(INDEX(Assumptions!B:B,MATCH("Margin convergence",Assumptions!A:A,0))=0,INDEX(Assumptions!B:B,MATCH("FY+1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margin",Assumptions!A:A,0))),IF(13-1&gt;=INDEX(Assumptions!B:B,MATCH("Margin convergence",Assumptions!A:A,0)),INDEX(Assumptions!B:B,MATCH("Stable net profit margin",Assumptions!A:A,0)),INDEX(Assumptions!B:B,MATCH("FY+1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f>
      </c>
      <c r="P9" s="25">
        <f>=IF(14&gt;INDEX(Assumptions!B:B,MATCH("Years to stability",Assumptions!A:A,0))+1,"",IF(INDEX(Assumptions!B:B,MATCH("Margin convergence",Assumptions!A:A,0))=0,INDEX(Assumptions!B:B,MATCH("FY+1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margin",Assumptions!A:A,0))),IF(14-1&gt;=INDEX(Assumptions!B:B,MATCH("Margin convergence",Assumptions!A:A,0)),INDEX(Assumptions!B:B,MATCH("Stable net profit margin",Assumptions!A:A,0)),INDEX(Assumptions!B:B,MATCH("FY+1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f>
      </c>
      <c r="Q9" s="25">
        <f>=IF(15&gt;INDEX(Assumptions!B:B,MATCH("Years to stability",Assumptions!A:A,0))+1,"",IF(INDEX(Assumptions!B:B,MATCH("Margin convergence",Assumptions!A:A,0))=0,INDEX(Assumptions!B:B,MATCH("FY+1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margin",Assumptions!A:A,0))),IF(15-1&gt;=INDEX(Assumptions!B:B,MATCH("Margin convergence",Assumptions!A:A,0)),INDEX(Assumptions!B:B,MATCH("Stable net profit margin",Assumptions!A:A,0)),INDEX(Assumptions!B:B,MATCH("FY+1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f>
      </c>
      <c r="R9" s="25">
        <f>=IF(16&gt;INDEX(Assumptions!B:B,MATCH("Years to stability",Assumptions!A:A,0))+1,"",IF(INDEX(Assumptions!B:B,MATCH("Margin convergence",Assumptions!A:A,0))=0,INDEX(Assumptions!B:B,MATCH("FY+1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margin",Assumptions!A:A,0))),IF(16-1&gt;=INDEX(Assumptions!B:B,MATCH("Margin convergence",Assumptions!A:A,0)),INDEX(Assumptions!B:B,MATCH("Stable net profit margin",Assumptions!A:A,0)),INDEX(Assumptions!B:B,MATCH("FY+1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f>
      </c>
      <c r="S9" s="25">
        <f>=IF(17&gt;INDEX(Assumptions!B:B,MATCH("Years to stability",Assumptions!A:A,0))+1,"",IF(INDEX(Assumptions!B:B,MATCH("Margin convergence",Assumptions!A:A,0))=0,INDEX(Assumptions!B:B,MATCH("FY+1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margin",Assumptions!A:A,0))),IF(17-1&gt;=INDEX(Assumptions!B:B,MATCH("Margin convergence",Assumptions!A:A,0)),INDEX(Assumptions!B:B,MATCH("Stable net profit margin",Assumptions!A:A,0)),INDEX(Assumptions!B:B,MATCH("FY+1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f>
      </c>
      <c r="T9" s="25">
        <f>=IF(18&gt;INDEX(Assumptions!B:B,MATCH("Years to stability",Assumptions!A:A,0))+1,"",IF(INDEX(Assumptions!B:B,MATCH("Margin convergence",Assumptions!A:A,0))=0,INDEX(Assumptions!B:B,MATCH("FY+1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margin",Assumptions!A:A,0))),IF(18-1&gt;=INDEX(Assumptions!B:B,MATCH("Margin convergence",Assumptions!A:A,0)),INDEX(Assumptions!B:B,MATCH("Stable net profit margin",Assumptions!A:A,0)),INDEX(Assumptions!B:B,MATCH("FY+1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f>
      </c>
      <c r="U9" s="25">
        <f>=IF(19&gt;INDEX(Assumptions!B:B,MATCH("Years to stability",Assumptions!A:A,0))+1,"",IF(INDEX(Assumptions!B:B,MATCH("Margin convergence",Assumptions!A:A,0))=0,INDEX(Assumptions!B:B,MATCH("FY+1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margin",Assumptions!A:A,0))),IF(19-1&gt;=INDEX(Assumptions!B:B,MATCH("Margin convergence",Assumptions!A:A,0)),INDEX(Assumptions!B:B,MATCH("Stable net profit margin",Assumptions!A:A,0)),INDEX(Assumptions!B:B,MATCH("FY+1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f>
      </c>
      <c r="V9" s="25">
        <f>=IF(20&gt;INDEX(Assumptions!B:B,MATCH("Years to stability",Assumptions!A:A,0))+1,"",IF(INDEX(Assumptions!B:B,MATCH("Margin convergence",Assumptions!A:A,0))=0,INDEX(Assumptions!B:B,MATCH("FY+1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margin",Assumptions!A:A,0))),IF(20-1&gt;=INDEX(Assumptions!B:B,MATCH("Margin convergence",Assumptions!A:A,0)),INDEX(Assumptions!B:B,MATCH("Stable net profit margin",Assumptions!A:A,0)),INDEX(Assumptions!B:B,MATCH("FY+1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f>
      </c>
      <c r="W9" s="25">
        <f>=IF(21&gt;INDEX(Assumptions!B:B,MATCH("Years to stability",Assumptions!A:A,0))+1,"",IF(INDEX(Assumptions!B:B,MATCH("Margin convergence",Assumptions!A:A,0))=0,INDEX(Assumptions!B:B,MATCH("FY+1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margin",Assumptions!A:A,0))),IF(21-1&gt;=INDEX(Assumptions!B:B,MATCH("Margin convergence",Assumptions!A:A,0)),INDEX(Assumptions!B:B,MATCH("Stable net profit margin",Assumptions!A:A,0)),INDEX(Assumptions!B:B,MATCH("FY+1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f>
      </c>
    </row>
    <row r="10" spans="1:23" x14ac:dyDescent="0.25">
      <c r="A10" s="11" t="s">
        <v>69</v>
      </c>
      <c r="B10" s="24">
        <f>=INDEX(Financials!B:B,MATCH("Reinvestment",Financials!A:A,0))</f>
      </c>
      <c r="C10" s="24">
        <f>=IF(1&lt;=INDEX(Assumptions!B:B,MATCH("Years to stability",Assumptions!A:A,0))+1,IF(1=INDEX(Assumptions!B:B,MATCH("Years to stability",Assumptions!A:A,0))+1,C8*INDEX(Assumptions!B:B,MATCH("Stable growth rate",Assumptions!A:A,0))/INDEX(Assumptions!B:B,MATCH("Stable ROE",Assumptions!A:A,0)),(C5-B5)/INDEX(Assumptions!B:B,MATCH("Sales-to-equity ratio",Assumptions!A:A,0))),"")</f>
      </c>
      <c r="D10" s="24">
        <f>=IF(2&lt;=INDEX(Assumptions!B:B,MATCH("Years to stability",Assumptions!A:A,0))+1,IF(2=INDEX(Assumptions!B:B,MATCH("Years to stability",Assumptions!A:A,0))+1,D8*INDEX(Assumptions!B:B,MATCH("Stable growth rate",Assumptions!A:A,0))/INDEX(Assumptions!B:B,MATCH("Stable ROE",Assumptions!A:A,0)),(D5-C5)/INDEX(Assumptions!B:B,MATCH("Sales-to-equity ratio",Assumptions!A:A,0))),"")</f>
      </c>
      <c r="E10" s="24">
        <f>=IF(3&lt;=INDEX(Assumptions!B:B,MATCH("Years to stability",Assumptions!A:A,0))+1,IF(3=INDEX(Assumptions!B:B,MATCH("Years to stability",Assumptions!A:A,0))+1,E8*INDEX(Assumptions!B:B,MATCH("Stable growth rate",Assumptions!A:A,0))/INDEX(Assumptions!B:B,MATCH("Stable ROE",Assumptions!A:A,0)),(E5-D5)/INDEX(Assumptions!B:B,MATCH("Sales-to-equity ratio",Assumptions!A:A,0))),"")</f>
      </c>
      <c r="F10" s="24">
        <f>=IF(4&lt;=INDEX(Assumptions!B:B,MATCH("Years to stability",Assumptions!A:A,0))+1,IF(4=INDEX(Assumptions!B:B,MATCH("Years to stability",Assumptions!A:A,0))+1,F8*INDEX(Assumptions!B:B,MATCH("Stable growth rate",Assumptions!A:A,0))/INDEX(Assumptions!B:B,MATCH("Stable ROE",Assumptions!A:A,0)),(F5-E5)/INDEX(Assumptions!B:B,MATCH("Sales-to-equity ratio",Assumptions!A:A,0))),"")</f>
      </c>
      <c r="G10" s="24">
        <f>=IF(5&lt;=INDEX(Assumptions!B:B,MATCH("Years to stability",Assumptions!A:A,0))+1,IF(5=INDEX(Assumptions!B:B,MATCH("Years to stability",Assumptions!A:A,0))+1,G8*INDEX(Assumptions!B:B,MATCH("Stable growth rate",Assumptions!A:A,0))/INDEX(Assumptions!B:B,MATCH("Stable ROE",Assumptions!A:A,0)),(G5-F5)/INDEX(Assumptions!B:B,MATCH("Sales-to-equity ratio",Assumptions!A:A,0))),"")</f>
      </c>
      <c r="H10" s="24">
        <f>=IF(6&lt;=INDEX(Assumptions!B:B,MATCH("Years to stability",Assumptions!A:A,0))+1,IF(6=INDEX(Assumptions!B:B,MATCH("Years to stability",Assumptions!A:A,0))+1,H8*INDEX(Assumptions!B:B,MATCH("Stable growth rate",Assumptions!A:A,0))/INDEX(Assumptions!B:B,MATCH("Stable ROE",Assumptions!A:A,0)),(H5-G5)/INDEX(Assumptions!B:B,MATCH("Sales-to-equity ratio",Assumptions!A:A,0))),"")</f>
      </c>
      <c r="I10" s="24">
        <f>=IF(7&lt;=INDEX(Assumptions!B:B,MATCH("Years to stability",Assumptions!A:A,0))+1,IF(7=INDEX(Assumptions!B:B,MATCH("Years to stability",Assumptions!A:A,0))+1,I8*INDEX(Assumptions!B:B,MATCH("Stable growth rate",Assumptions!A:A,0))/INDEX(Assumptions!B:B,MATCH("Stable ROE",Assumptions!A:A,0)),(I5-H5)/INDEX(Assumptions!B:B,MATCH("Sales-to-equity ratio",Assumptions!A:A,0))),"")</f>
      </c>
      <c r="J10" s="24">
        <f>=IF(8&lt;=INDEX(Assumptions!B:B,MATCH("Years to stability",Assumptions!A:A,0))+1,IF(8=INDEX(Assumptions!B:B,MATCH("Years to stability",Assumptions!A:A,0))+1,J8*INDEX(Assumptions!B:B,MATCH("Stable growth rate",Assumptions!A:A,0))/INDEX(Assumptions!B:B,MATCH("Stable ROE",Assumptions!A:A,0)),(J5-I5)/INDEX(Assumptions!B:B,MATCH("Sales-to-equity ratio",Assumptions!A:A,0))),"")</f>
      </c>
      <c r="K10" s="24">
        <f>=IF(9&lt;=INDEX(Assumptions!B:B,MATCH("Years to stability",Assumptions!A:A,0))+1,IF(9=INDEX(Assumptions!B:B,MATCH("Years to stability",Assumptions!A:A,0))+1,K8*INDEX(Assumptions!B:B,MATCH("Stable growth rate",Assumptions!A:A,0))/INDEX(Assumptions!B:B,MATCH("Stable ROE",Assumptions!A:A,0)),(K5-J5)/INDEX(Assumptions!B:B,MATCH("Sales-to-equity ratio",Assumptions!A:A,0))),"")</f>
      </c>
      <c r="L10" s="24">
        <f>=IF(10&lt;=INDEX(Assumptions!B:B,MATCH("Years to stability",Assumptions!A:A,0))+1,IF(10=INDEX(Assumptions!B:B,MATCH("Years to stability",Assumptions!A:A,0))+1,L8*INDEX(Assumptions!B:B,MATCH("Stable growth rate",Assumptions!A:A,0))/INDEX(Assumptions!B:B,MATCH("Stable ROE",Assumptions!A:A,0)),(L5-K5)/INDEX(Assumptions!B:B,MATCH("Sales-to-equity ratio",Assumptions!A:A,0))),"")</f>
      </c>
      <c r="M10" s="24">
        <f>=IF(11&lt;=INDEX(Assumptions!B:B,MATCH("Years to stability",Assumptions!A:A,0))+1,IF(11=INDEX(Assumptions!B:B,MATCH("Years to stability",Assumptions!A:A,0))+1,M8*INDEX(Assumptions!B:B,MATCH("Stable growth rate",Assumptions!A:A,0))/INDEX(Assumptions!B:B,MATCH("Stable ROE",Assumptions!A:A,0)),(M5-L5)/INDEX(Assumptions!B:B,MATCH("Sales-to-equity ratio",Assumptions!A:A,0))),"")</f>
      </c>
      <c r="N10" s="24">
        <f>=IF(12&lt;=INDEX(Assumptions!B:B,MATCH("Years to stability",Assumptions!A:A,0))+1,IF(12=INDEX(Assumptions!B:B,MATCH("Years to stability",Assumptions!A:A,0))+1,N8*INDEX(Assumptions!B:B,MATCH("Stable growth rate",Assumptions!A:A,0))/INDEX(Assumptions!B:B,MATCH("Stable ROE",Assumptions!A:A,0)),(N5-M5)/INDEX(Assumptions!B:B,MATCH("Sales-to-equity ratio",Assumptions!A:A,0))),"")</f>
      </c>
      <c r="O10" s="24">
        <f>=IF(13&lt;=INDEX(Assumptions!B:B,MATCH("Years to stability",Assumptions!A:A,0))+1,IF(13=INDEX(Assumptions!B:B,MATCH("Years to stability",Assumptions!A:A,0))+1,O8*INDEX(Assumptions!B:B,MATCH("Stable growth rate",Assumptions!A:A,0))/INDEX(Assumptions!B:B,MATCH("Stable ROE",Assumptions!A:A,0)),(O5-N5)/INDEX(Assumptions!B:B,MATCH("Sales-to-equity ratio",Assumptions!A:A,0))),"")</f>
      </c>
      <c r="P10" s="24">
        <f>=IF(14&lt;=INDEX(Assumptions!B:B,MATCH("Years to stability",Assumptions!A:A,0))+1,IF(14=INDEX(Assumptions!B:B,MATCH("Years to stability",Assumptions!A:A,0))+1,P8*INDEX(Assumptions!B:B,MATCH("Stable growth rate",Assumptions!A:A,0))/INDEX(Assumptions!B:B,MATCH("Stable ROE",Assumptions!A:A,0)),(P5-O5)/INDEX(Assumptions!B:B,MATCH("Sales-to-equity ratio",Assumptions!A:A,0))),"")</f>
      </c>
      <c r="Q10" s="24">
        <f>=IF(15&lt;=INDEX(Assumptions!B:B,MATCH("Years to stability",Assumptions!A:A,0))+1,IF(15=INDEX(Assumptions!B:B,MATCH("Years to stability",Assumptions!A:A,0))+1,Q8*INDEX(Assumptions!B:B,MATCH("Stable growth rate",Assumptions!A:A,0))/INDEX(Assumptions!B:B,MATCH("Stable ROE",Assumptions!A:A,0)),(Q5-P5)/INDEX(Assumptions!B:B,MATCH("Sales-to-equity ratio",Assumptions!A:A,0))),"")</f>
      </c>
      <c r="R10" s="24">
        <f>=IF(16&lt;=INDEX(Assumptions!B:B,MATCH("Years to stability",Assumptions!A:A,0))+1,IF(16=INDEX(Assumptions!B:B,MATCH("Years to stability",Assumptions!A:A,0))+1,R8*INDEX(Assumptions!B:B,MATCH("Stable growth rate",Assumptions!A:A,0))/INDEX(Assumptions!B:B,MATCH("Stable ROE",Assumptions!A:A,0)),(R5-Q5)/INDEX(Assumptions!B:B,MATCH("Sales-to-equity ratio",Assumptions!A:A,0))),"")</f>
      </c>
      <c r="S10" s="24">
        <f>=IF(17&lt;=INDEX(Assumptions!B:B,MATCH("Years to stability",Assumptions!A:A,0))+1,IF(17=INDEX(Assumptions!B:B,MATCH("Years to stability",Assumptions!A:A,0))+1,S8*INDEX(Assumptions!B:B,MATCH("Stable growth rate",Assumptions!A:A,0))/INDEX(Assumptions!B:B,MATCH("Stable ROE",Assumptions!A:A,0)),(S5-R5)/INDEX(Assumptions!B:B,MATCH("Sales-to-equity ratio",Assumptions!A:A,0))),"")</f>
      </c>
      <c r="T10" s="24">
        <f>=IF(18&lt;=INDEX(Assumptions!B:B,MATCH("Years to stability",Assumptions!A:A,0))+1,IF(18=INDEX(Assumptions!B:B,MATCH("Years to stability",Assumptions!A:A,0))+1,T8*INDEX(Assumptions!B:B,MATCH("Stable growth rate",Assumptions!A:A,0))/INDEX(Assumptions!B:B,MATCH("Stable ROE",Assumptions!A:A,0)),(T5-S5)/INDEX(Assumptions!B:B,MATCH("Sales-to-equity ratio",Assumptions!A:A,0))),"")</f>
      </c>
      <c r="U10" s="24">
        <f>=IF(19&lt;=INDEX(Assumptions!B:B,MATCH("Years to stability",Assumptions!A:A,0))+1,IF(19=INDEX(Assumptions!B:B,MATCH("Years to stability",Assumptions!A:A,0))+1,U8*INDEX(Assumptions!B:B,MATCH("Stable growth rate",Assumptions!A:A,0))/INDEX(Assumptions!B:B,MATCH("Stable ROE",Assumptions!A:A,0)),(U5-T5)/INDEX(Assumptions!B:B,MATCH("Sales-to-equity ratio",Assumptions!A:A,0))),"")</f>
      </c>
      <c r="V10" s="24">
        <f>=IF(20&lt;=INDEX(Assumptions!B:B,MATCH("Years to stability",Assumptions!A:A,0))+1,IF(20=INDEX(Assumptions!B:B,MATCH("Years to stability",Assumptions!A:A,0))+1,V8*INDEX(Assumptions!B:B,MATCH("Stable growth rate",Assumptions!A:A,0))/INDEX(Assumptions!B:B,MATCH("Stable ROE",Assumptions!A:A,0)),(V5-U5)/INDEX(Assumptions!B:B,MATCH("Sales-to-equity ratio",Assumptions!A:A,0))),"")</f>
      </c>
      <c r="W10" s="24">
        <f>=IF(21&lt;=INDEX(Assumptions!B:B,MATCH("Years to stability",Assumptions!A:A,0))+1,IF(21=INDEX(Assumptions!B:B,MATCH("Years to stability",Assumptions!A:A,0))+1,W8*INDEX(Assumptions!B:B,MATCH("Stable growth rate",Assumptions!A:A,0))/INDEX(Assumptions!B:B,MATCH("Stable ROE",Assumptions!A:A,0)),(W5-V5)/INDEX(Assumptions!B:B,MATCH("Sales-to-equity ratio",Assumptions!A:A,0))),"")</f>
      </c>
    </row>
    <row r="11" spans="1:23" x14ac:dyDescent="0.25">
      <c r="A11" s="11" t="s">
        <v>70</v>
      </c>
      <c r="B11" s="24">
        <f>=INDEX(Financials!B:B,MATCH("Adjusted Equity",Financials!A:A,0))</f>
      </c>
      <c r="C11" s="24">
        <f>=IF(1&lt;=INDEX(Assumptions!B:B,MATCH("Years to stability",Assumptions!A:A,0))+1,B11+C10,"")</f>
      </c>
      <c r="D11" s="24">
        <f>=IF(2&lt;=INDEX(Assumptions!B:B,MATCH("Years to stability",Assumptions!A:A,0))+1,C11+D10,"")</f>
      </c>
      <c r="E11" s="24">
        <f>=IF(3&lt;=INDEX(Assumptions!B:B,MATCH("Years to stability",Assumptions!A:A,0))+1,D11+E10,"")</f>
      </c>
      <c r="F11" s="24">
        <f>=IF(4&lt;=INDEX(Assumptions!B:B,MATCH("Years to stability",Assumptions!A:A,0))+1,E11+F10,"")</f>
      </c>
      <c r="G11" s="24">
        <f>=IF(5&lt;=INDEX(Assumptions!B:B,MATCH("Years to stability",Assumptions!A:A,0))+1,F11+G10,"")</f>
      </c>
      <c r="H11" s="24">
        <f>=IF(6&lt;=INDEX(Assumptions!B:B,MATCH("Years to stability",Assumptions!A:A,0))+1,G11+H10,"")</f>
      </c>
      <c r="I11" s="24">
        <f>=IF(7&lt;=INDEX(Assumptions!B:B,MATCH("Years to stability",Assumptions!A:A,0))+1,H11+I10,"")</f>
      </c>
      <c r="J11" s="24">
        <f>=IF(8&lt;=INDEX(Assumptions!B:B,MATCH("Years to stability",Assumptions!A:A,0))+1,I11+J10,"")</f>
      </c>
      <c r="K11" s="24">
        <f>=IF(9&lt;=INDEX(Assumptions!B:B,MATCH("Years to stability",Assumptions!A:A,0))+1,J11+K10,"")</f>
      </c>
      <c r="L11" s="24">
        <f>=IF(10&lt;=INDEX(Assumptions!B:B,MATCH("Years to stability",Assumptions!A:A,0))+1,K11+L10,"")</f>
      </c>
      <c r="M11" s="24">
        <f>=IF(11&lt;=INDEX(Assumptions!B:B,MATCH("Years to stability",Assumptions!A:A,0))+1,L11+M10,"")</f>
      </c>
      <c r="N11" s="24">
        <f>=IF(12&lt;=INDEX(Assumptions!B:B,MATCH("Years to stability",Assumptions!A:A,0))+1,M11+N10,"")</f>
      </c>
      <c r="O11" s="24">
        <f>=IF(13&lt;=INDEX(Assumptions!B:B,MATCH("Years to stability",Assumptions!A:A,0))+1,N11+O10,"")</f>
      </c>
      <c r="P11" s="24">
        <f>=IF(14&lt;=INDEX(Assumptions!B:B,MATCH("Years to stability",Assumptions!A:A,0))+1,O11+P10,"")</f>
      </c>
      <c r="Q11" s="24">
        <f>=IF(15&lt;=INDEX(Assumptions!B:B,MATCH("Years to stability",Assumptions!A:A,0))+1,P11+Q10,"")</f>
      </c>
      <c r="R11" s="24">
        <f>=IF(16&lt;=INDEX(Assumptions!B:B,MATCH("Years to stability",Assumptions!A:A,0))+1,Q11+R10,"")</f>
      </c>
      <c r="S11" s="24">
        <f>=IF(17&lt;=INDEX(Assumptions!B:B,MATCH("Years to stability",Assumptions!A:A,0))+1,R11+S10,"")</f>
      </c>
      <c r="T11" s="24">
        <f>=IF(18&lt;=INDEX(Assumptions!B:B,MATCH("Years to stability",Assumptions!A:A,0))+1,S11+T10,"")</f>
      </c>
      <c r="U11" s="24">
        <f>=IF(19&lt;=INDEX(Assumptions!B:B,MATCH("Years to stability",Assumptions!A:A,0))+1,T11+U10,"")</f>
      </c>
      <c r="V11" s="24">
        <f>=IF(20&lt;=INDEX(Assumptions!B:B,MATCH("Years to stability",Assumptions!A:A,0))+1,U11+V10,"")</f>
      </c>
      <c r="W11" s="24">
        <f>=IF(21&lt;=INDEX(Assumptions!B:B,MATCH("Years to stability",Assumptions!A:A,0))+1,V11+W10,"")</f>
      </c>
    </row>
    <row r="12" spans="1:23" x14ac:dyDescent="0.25">
      <c r="A12" s="11" t="s">
        <v>71</v>
      </c>
      <c r="B12" s="25">
        <f>=B8/B11</f>
      </c>
      <c r="C12" s="25">
        <f>=IF(1&gt;INDEX(Assumptions!B:B,MATCH("Years to stability",Assumptions!A:A,0))+1,"",IF(1=INDEX(Assumptions!B:B,MATCH("Years to stability",Assumptions!A:A,0))+1,INDEX(Assumptions!B:B,MATCH("Stable ROE",Assumptions!A:A,0)),C8/C11))</f>
      </c>
      <c r="D12" s="25">
        <f>=IF(2&gt;INDEX(Assumptions!B:B,MATCH("Years to stability",Assumptions!A:A,0))+1,"",IF(2=INDEX(Assumptions!B:B,MATCH("Years to stability",Assumptions!A:A,0))+1,INDEX(Assumptions!B:B,MATCH("Stable ROE",Assumptions!A:A,0)),D8/D11))</f>
      </c>
      <c r="E12" s="25">
        <f>=IF(3&gt;INDEX(Assumptions!B:B,MATCH("Years to stability",Assumptions!A:A,0))+1,"",IF(3=INDEX(Assumptions!B:B,MATCH("Years to stability",Assumptions!A:A,0))+1,INDEX(Assumptions!B:B,MATCH("Stable ROE",Assumptions!A:A,0)),E8/E11))</f>
      </c>
      <c r="F12" s="25">
        <f>=IF(4&gt;INDEX(Assumptions!B:B,MATCH("Years to stability",Assumptions!A:A,0))+1,"",IF(4=INDEX(Assumptions!B:B,MATCH("Years to stability",Assumptions!A:A,0))+1,INDEX(Assumptions!B:B,MATCH("Stable ROE",Assumptions!A:A,0)),F8/F11))</f>
      </c>
      <c r="G12" s="25">
        <f>=IF(5&gt;INDEX(Assumptions!B:B,MATCH("Years to stability",Assumptions!A:A,0))+1,"",IF(5=INDEX(Assumptions!B:B,MATCH("Years to stability",Assumptions!A:A,0))+1,INDEX(Assumptions!B:B,MATCH("Stable ROE",Assumptions!A:A,0)),G8/G11))</f>
      </c>
      <c r="H12" s="25">
        <f>=IF(6&gt;INDEX(Assumptions!B:B,MATCH("Years to stability",Assumptions!A:A,0))+1,"",IF(6=INDEX(Assumptions!B:B,MATCH("Years to stability",Assumptions!A:A,0))+1,INDEX(Assumptions!B:B,MATCH("Stable ROE",Assumptions!A:A,0)),H8/H11))</f>
      </c>
      <c r="I12" s="25">
        <f>=IF(7&gt;INDEX(Assumptions!B:B,MATCH("Years to stability",Assumptions!A:A,0))+1,"",IF(7=INDEX(Assumptions!B:B,MATCH("Years to stability",Assumptions!A:A,0))+1,INDEX(Assumptions!B:B,MATCH("Stable ROE",Assumptions!A:A,0)),I8/I11))</f>
      </c>
      <c r="J12" s="25">
        <f>=IF(8&gt;INDEX(Assumptions!B:B,MATCH("Years to stability",Assumptions!A:A,0))+1,"",IF(8=INDEX(Assumptions!B:B,MATCH("Years to stability",Assumptions!A:A,0))+1,INDEX(Assumptions!B:B,MATCH("Stable ROE",Assumptions!A:A,0)),J8/J11))</f>
      </c>
      <c r="K12" s="25">
        <f>=IF(9&gt;INDEX(Assumptions!B:B,MATCH("Years to stability",Assumptions!A:A,0))+1,"",IF(9=INDEX(Assumptions!B:B,MATCH("Years to stability",Assumptions!A:A,0))+1,INDEX(Assumptions!B:B,MATCH("Stable ROE",Assumptions!A:A,0)),K8/K11))</f>
      </c>
      <c r="L12" s="25">
        <f>=IF(10&gt;INDEX(Assumptions!B:B,MATCH("Years to stability",Assumptions!A:A,0))+1,"",IF(10=INDEX(Assumptions!B:B,MATCH("Years to stability",Assumptions!A:A,0))+1,INDEX(Assumptions!B:B,MATCH("Stable ROE",Assumptions!A:A,0)),L8/L11))</f>
      </c>
      <c r="M12" s="25">
        <f>=IF(11&gt;INDEX(Assumptions!B:B,MATCH("Years to stability",Assumptions!A:A,0))+1,"",IF(11=INDEX(Assumptions!B:B,MATCH("Years to stability",Assumptions!A:A,0))+1,INDEX(Assumptions!B:B,MATCH("Stable ROE",Assumptions!A:A,0)),M8/M11))</f>
      </c>
      <c r="N12" s="25">
        <f>=IF(12&gt;INDEX(Assumptions!B:B,MATCH("Years to stability",Assumptions!A:A,0))+1,"",IF(12=INDEX(Assumptions!B:B,MATCH("Years to stability",Assumptions!A:A,0))+1,INDEX(Assumptions!B:B,MATCH("Stable ROE",Assumptions!A:A,0)),N8/N11))</f>
      </c>
      <c r="O12" s="25">
        <f>=IF(13&gt;INDEX(Assumptions!B:B,MATCH("Years to stability",Assumptions!A:A,0))+1,"",IF(13=INDEX(Assumptions!B:B,MATCH("Years to stability",Assumptions!A:A,0))+1,INDEX(Assumptions!B:B,MATCH("Stable ROE",Assumptions!A:A,0)),O8/O11))</f>
      </c>
      <c r="P12" s="25">
        <f>=IF(14&gt;INDEX(Assumptions!B:B,MATCH("Years to stability",Assumptions!A:A,0))+1,"",IF(14=INDEX(Assumptions!B:B,MATCH("Years to stability",Assumptions!A:A,0))+1,INDEX(Assumptions!B:B,MATCH("Stable ROE",Assumptions!A:A,0)),P8/P11))</f>
      </c>
      <c r="Q12" s="25">
        <f>=IF(15&gt;INDEX(Assumptions!B:B,MATCH("Years to stability",Assumptions!A:A,0))+1,"",IF(15=INDEX(Assumptions!B:B,MATCH("Years to stability",Assumptions!A:A,0))+1,INDEX(Assumptions!B:B,MATCH("Stable ROE",Assumptions!A:A,0)),Q8/Q11))</f>
      </c>
      <c r="R12" s="25">
        <f>=IF(16&gt;INDEX(Assumptions!B:B,MATCH("Years to stability",Assumptions!A:A,0))+1,"",IF(16=INDEX(Assumptions!B:B,MATCH("Years to stability",Assumptions!A:A,0))+1,INDEX(Assumptions!B:B,MATCH("Stable ROE",Assumptions!A:A,0)),R8/R11))</f>
      </c>
      <c r="S12" s="25">
        <f>=IF(17&gt;INDEX(Assumptions!B:B,MATCH("Years to stability",Assumptions!A:A,0))+1,"",IF(17=INDEX(Assumptions!B:B,MATCH("Years to stability",Assumptions!A:A,0))+1,INDEX(Assumptions!B:B,MATCH("Stable ROE",Assumptions!A:A,0)),S8/S11))</f>
      </c>
      <c r="T12" s="25">
        <f>=IF(18&gt;INDEX(Assumptions!B:B,MATCH("Years to stability",Assumptions!A:A,0))+1,"",IF(18=INDEX(Assumptions!B:B,MATCH("Years to stability",Assumptions!A:A,0))+1,INDEX(Assumptions!B:B,MATCH("Stable ROE",Assumptions!A:A,0)),T8/T11))</f>
      </c>
      <c r="U12" s="25">
        <f>=IF(19&gt;INDEX(Assumptions!B:B,MATCH("Years to stability",Assumptions!A:A,0))+1,"",IF(19=INDEX(Assumptions!B:B,MATCH("Years to stability",Assumptions!A:A,0))+1,INDEX(Assumptions!B:B,MATCH("Stable ROE",Assumptions!A:A,0)),U8/U11))</f>
      </c>
      <c r="V12" s="25">
        <f>=IF(20&gt;INDEX(Assumptions!B:B,MATCH("Years to stability",Assumptions!A:A,0))+1,"",IF(20=INDEX(Assumptions!B:B,MATCH("Years to stability",Assumptions!A:A,0))+1,INDEX(Assumptions!B:B,MATCH("Stable ROE",Assumptions!A:A,0)),V8/V11))</f>
      </c>
      <c r="W12" s="25">
        <f>=IF(21&gt;INDEX(Assumptions!B:B,MATCH("Years to stability",Assumptions!A:A,0))+1,"",IF(21=INDEX(Assumptions!B:B,MATCH("Years to stability",Assumptions!A:A,0))+1,INDEX(Assumptions!B:B,MATCH("Stable ROE",Assumptions!A:A,0)),W8/W11))</f>
      </c>
    </row>
    <row r="13" spans="1:23" x14ac:dyDescent="0.25">
      <c r="A13" s="11" t="s">
        <v>72</v>
      </c>
      <c r="B13" s="26">
        <f>=INDEX(Financials!B:B,MATCH("Sales to Equity Ratio",Financials!A:A,0))</f>
      </c>
      <c r="C13" s="26">
        <f>=IF(1&lt;=INDEX(Assumptions!B:B,MATCH("Years to stability",Assumptions!A:A,0))+1,INDEX(Assumptions!B:B,MATCH("Sales-to-equity ratio",Assumptions!A:A,0)),"")</f>
      </c>
      <c r="D13" s="26">
        <f>=IF(2&lt;=INDEX(Assumptions!B:B,MATCH("Years to stability",Assumptions!A:A,0))+1,INDEX(Assumptions!B:B,MATCH("Sales-to-equity ratio",Assumptions!A:A,0)),"")</f>
      </c>
      <c r="E13" s="26">
        <f>=IF(3&lt;=INDEX(Assumptions!B:B,MATCH("Years to stability",Assumptions!A:A,0))+1,INDEX(Assumptions!B:B,MATCH("Sales-to-equity ratio",Assumptions!A:A,0)),"")</f>
      </c>
      <c r="F13" s="26">
        <f>=IF(4&lt;=INDEX(Assumptions!B:B,MATCH("Years to stability",Assumptions!A:A,0))+1,INDEX(Assumptions!B:B,MATCH("Sales-to-equity ratio",Assumptions!A:A,0)),"")</f>
      </c>
      <c r="G13" s="26">
        <f>=IF(5&lt;=INDEX(Assumptions!B:B,MATCH("Years to stability",Assumptions!A:A,0))+1,INDEX(Assumptions!B:B,MATCH("Sales-to-equity ratio",Assumptions!A:A,0)),"")</f>
      </c>
      <c r="H13" s="26">
        <f>=IF(6&lt;=INDEX(Assumptions!B:B,MATCH("Years to stability",Assumptions!A:A,0))+1,INDEX(Assumptions!B:B,MATCH("Sales-to-equity ratio",Assumptions!A:A,0)),"")</f>
      </c>
      <c r="I13" s="26">
        <f>=IF(7&lt;=INDEX(Assumptions!B:B,MATCH("Years to stability",Assumptions!A:A,0))+1,INDEX(Assumptions!B:B,MATCH("Sales-to-equity ratio",Assumptions!A:A,0)),"")</f>
      </c>
      <c r="J13" s="26">
        <f>=IF(8&lt;=INDEX(Assumptions!B:B,MATCH("Years to stability",Assumptions!A:A,0))+1,INDEX(Assumptions!B:B,MATCH("Sales-to-equity ratio",Assumptions!A:A,0)),"")</f>
      </c>
      <c r="K13" s="26">
        <f>=IF(9&lt;=INDEX(Assumptions!B:B,MATCH("Years to stability",Assumptions!A:A,0))+1,INDEX(Assumptions!B:B,MATCH("Sales-to-equity ratio",Assumptions!A:A,0)),"")</f>
      </c>
      <c r="L13" s="26">
        <f>=IF(10&lt;=INDEX(Assumptions!B:B,MATCH("Years to stability",Assumptions!A:A,0))+1,INDEX(Assumptions!B:B,MATCH("Sales-to-equity ratio",Assumptions!A:A,0)),"")</f>
      </c>
      <c r="M13" s="26">
        <f>=IF(11&lt;=INDEX(Assumptions!B:B,MATCH("Years to stability",Assumptions!A:A,0))+1,INDEX(Assumptions!B:B,MATCH("Sales-to-equity ratio",Assumptions!A:A,0)),"")</f>
      </c>
      <c r="N13" s="26">
        <f>=IF(12&lt;=INDEX(Assumptions!B:B,MATCH("Years to stability",Assumptions!A:A,0))+1,INDEX(Assumptions!B:B,MATCH("Sales-to-equity ratio",Assumptions!A:A,0)),"")</f>
      </c>
      <c r="O13" s="26">
        <f>=IF(13&lt;=INDEX(Assumptions!B:B,MATCH("Years to stability",Assumptions!A:A,0))+1,INDEX(Assumptions!B:B,MATCH("Sales-to-equity ratio",Assumptions!A:A,0)),"")</f>
      </c>
      <c r="P13" s="26">
        <f>=IF(14&lt;=INDEX(Assumptions!B:B,MATCH("Years to stability",Assumptions!A:A,0))+1,INDEX(Assumptions!B:B,MATCH("Sales-to-equity ratio",Assumptions!A:A,0)),"")</f>
      </c>
      <c r="Q13" s="26">
        <f>=IF(15&lt;=INDEX(Assumptions!B:B,MATCH("Years to stability",Assumptions!A:A,0))+1,INDEX(Assumptions!B:B,MATCH("Sales-to-equity ratio",Assumptions!A:A,0)),"")</f>
      </c>
      <c r="R13" s="26">
        <f>=IF(16&lt;=INDEX(Assumptions!B:B,MATCH("Years to stability",Assumptions!A:A,0))+1,INDEX(Assumptions!B:B,MATCH("Sales-to-equity ratio",Assumptions!A:A,0)),"")</f>
      </c>
      <c r="S13" s="26">
        <f>=IF(17&lt;=INDEX(Assumptions!B:B,MATCH("Years to stability",Assumptions!A:A,0))+1,INDEX(Assumptions!B:B,MATCH("Sales-to-equity ratio",Assumptions!A:A,0)),"")</f>
      </c>
      <c r="T13" s="26">
        <f>=IF(18&lt;=INDEX(Assumptions!B:B,MATCH("Years to stability",Assumptions!A:A,0))+1,INDEX(Assumptions!B:B,MATCH("Sales-to-equity ratio",Assumptions!A:A,0)),"")</f>
      </c>
      <c r="U13" s="26">
        <f>=IF(19&lt;=INDEX(Assumptions!B:B,MATCH("Years to stability",Assumptions!A:A,0))+1,INDEX(Assumptions!B:B,MATCH("Sales-to-equity ratio",Assumptions!A:A,0)),"")</f>
      </c>
      <c r="V13" s="26">
        <f>=IF(20&lt;=INDEX(Assumptions!B:B,MATCH("Years to stability",Assumptions!A:A,0))+1,INDEX(Assumptions!B:B,MATCH("Sales-to-equity ratio",Assumptions!A:A,0)),"")</f>
      </c>
      <c r="W13" s="26">
        <f>=IF(21&lt;=INDEX(Assumptions!B:B,MATCH("Years to stability",Assumptions!A:A,0))+1,INDEX(Assumptions!B:B,MATCH("Sales-to-equity ratio",Assumptions!A:A,0)),"")</f>
      </c>
    </row>
    <row r="14" spans="1:23" x14ac:dyDescent="0.25">
      <c r="A14" s="11" t="s">
        <v>73</v>
      </c>
      <c r="B14" s="24">
        <f>=B8-B10</f>
      </c>
      <c r="C14" s="24">
        <f>=IF(1&lt;=INDEX(Assumptions!B:B,MATCH("Years to stability",Assumptions!A:A,0))+1,C8-C10,"")</f>
      </c>
      <c r="D14" s="24">
        <f>=IF(2&lt;=INDEX(Assumptions!B:B,MATCH("Years to stability",Assumptions!A:A,0))+1,D8-D10,"")</f>
      </c>
      <c r="E14" s="24">
        <f>=IF(3&lt;=INDEX(Assumptions!B:B,MATCH("Years to stability",Assumptions!A:A,0))+1,E8-E10,"")</f>
      </c>
      <c r="F14" s="24">
        <f>=IF(4&lt;=INDEX(Assumptions!B:B,MATCH("Years to stability",Assumptions!A:A,0))+1,F8-F10,"")</f>
      </c>
      <c r="G14" s="24">
        <f>=IF(5&lt;=INDEX(Assumptions!B:B,MATCH("Years to stability",Assumptions!A:A,0))+1,G8-G10,"")</f>
      </c>
      <c r="H14" s="24">
        <f>=IF(6&lt;=INDEX(Assumptions!B:B,MATCH("Years to stability",Assumptions!A:A,0))+1,H8-H10,"")</f>
      </c>
      <c r="I14" s="24">
        <f>=IF(7&lt;=INDEX(Assumptions!B:B,MATCH("Years to stability",Assumptions!A:A,0))+1,I8-I10,"")</f>
      </c>
      <c r="J14" s="24">
        <f>=IF(8&lt;=INDEX(Assumptions!B:B,MATCH("Years to stability",Assumptions!A:A,0))+1,J8-J10,"")</f>
      </c>
      <c r="K14" s="24">
        <f>=IF(9&lt;=INDEX(Assumptions!B:B,MATCH("Years to stability",Assumptions!A:A,0))+1,K8-K10,"")</f>
      </c>
      <c r="L14" s="24">
        <f>=IF(10&lt;=INDEX(Assumptions!B:B,MATCH("Years to stability",Assumptions!A:A,0))+1,L8-L10,"")</f>
      </c>
      <c r="M14" s="24">
        <f>=IF(11&lt;=INDEX(Assumptions!B:B,MATCH("Years to stability",Assumptions!A:A,0))+1,M8-M10,"")</f>
      </c>
      <c r="N14" s="24">
        <f>=IF(12&lt;=INDEX(Assumptions!B:B,MATCH("Years to stability",Assumptions!A:A,0))+1,N8-N10,"")</f>
      </c>
      <c r="O14" s="24">
        <f>=IF(13&lt;=INDEX(Assumptions!B:B,MATCH("Years to stability",Assumptions!A:A,0))+1,O8-O10,"")</f>
      </c>
      <c r="P14" s="24">
        <f>=IF(14&lt;=INDEX(Assumptions!B:B,MATCH("Years to stability",Assumptions!A:A,0))+1,P8-P10,"")</f>
      </c>
      <c r="Q14" s="24">
        <f>=IF(15&lt;=INDEX(Assumptions!B:B,MATCH("Years to stability",Assumptions!A:A,0))+1,Q8-Q10,"")</f>
      </c>
      <c r="R14" s="24">
        <f>=IF(16&lt;=INDEX(Assumptions!B:B,MATCH("Years to stability",Assumptions!A:A,0))+1,R8-R10,"")</f>
      </c>
      <c r="S14" s="24">
        <f>=IF(17&lt;=INDEX(Assumptions!B:B,MATCH("Years to stability",Assumptions!A:A,0))+1,S8-S10,"")</f>
      </c>
      <c r="T14" s="24">
        <f>=IF(18&lt;=INDEX(Assumptions!B:B,MATCH("Years to stability",Assumptions!A:A,0))+1,T8-T10,"")</f>
      </c>
      <c r="U14" s="24">
        <f>=IF(19&lt;=INDEX(Assumptions!B:B,MATCH("Years to stability",Assumptions!A:A,0))+1,U8-U10,"")</f>
      </c>
      <c r="V14" s="24">
        <f>=IF(20&lt;=INDEX(Assumptions!B:B,MATCH("Years to stability",Assumptions!A:A,0))+1,V8-V10,"")</f>
      </c>
      <c r="W14" s="24">
        <f>=IF(21&lt;=INDEX(Assumptions!B:B,MATCH("Years to stability",Assumptions!A:A,0))+1,W8-W10,"")</f>
      </c>
    </row>
    <row r="15" spans="1:23" x14ac:dyDescent="0.25">
      <c r="A15" s="11" t="s">
        <v>74</v>
      </c>
      <c r="B15" s="12"/>
      <c r="C15" s="24">
        <f>=IF(1=INDEX(Assumptions!B:B,MATCH("Years to stability",Assumptions!A:A,0))+1,C14/(LOOKUP(2,1/('Cost of equity'!A:A="Stable cost of equity"),'Cost of equity'!B:B)-INDEX(Assumptions!B:B,MATCH("Stable growth rate",Assumptions!A:A,0))),"")</f>
      </c>
      <c r="D15" s="24">
        <f>=IF(2=INDEX(Assumptions!B:B,MATCH("Years to stability",Assumptions!A:A,0))+1,D14/(LOOKUP(2,1/('Cost of equity'!A:A="Stable cost of equity"),'Cost of equity'!B:B)-INDEX(Assumptions!B:B,MATCH("Stable growth rate",Assumptions!A:A,0))),"")</f>
      </c>
      <c r="E15" s="24">
        <f>=IF(3=INDEX(Assumptions!B:B,MATCH("Years to stability",Assumptions!A:A,0))+1,E14/(LOOKUP(2,1/('Cost of equity'!A:A="Stable cost of equity"),'Cost of equity'!B:B)-INDEX(Assumptions!B:B,MATCH("Stable growth rate",Assumptions!A:A,0))),"")</f>
      </c>
      <c r="F15" s="24">
        <f>=IF(4=INDEX(Assumptions!B:B,MATCH("Years to stability",Assumptions!A:A,0))+1,F14/(LOOKUP(2,1/('Cost of equity'!A:A="Stable cost of equity"),'Cost of equity'!B:B)-INDEX(Assumptions!B:B,MATCH("Stable growth rate",Assumptions!A:A,0))),"")</f>
      </c>
      <c r="G15" s="24">
        <f>=IF(5=INDEX(Assumptions!B:B,MATCH("Years to stability",Assumptions!A:A,0))+1,G14/(LOOKUP(2,1/('Cost of equity'!A:A="Stable cost of equity"),'Cost of equity'!B:B)-INDEX(Assumptions!B:B,MATCH("Stable growth rate",Assumptions!A:A,0))),"")</f>
      </c>
      <c r="H15" s="24">
        <f>=IF(6=INDEX(Assumptions!B:B,MATCH("Years to stability",Assumptions!A:A,0))+1,H14/(LOOKUP(2,1/('Cost of equity'!A:A="Stable cost of equity"),'Cost of equity'!B:B)-INDEX(Assumptions!B:B,MATCH("Stable growth rate",Assumptions!A:A,0))),"")</f>
      </c>
      <c r="I15" s="24">
        <f>=IF(7=INDEX(Assumptions!B:B,MATCH("Years to stability",Assumptions!A:A,0))+1,I14/(LOOKUP(2,1/('Cost of equity'!A:A="Stable cost of equity"),'Cost of equity'!B:B)-INDEX(Assumptions!B:B,MATCH("Stable growth rate",Assumptions!A:A,0))),"")</f>
      </c>
      <c r="J15" s="24">
        <f>=IF(8=INDEX(Assumptions!B:B,MATCH("Years to stability",Assumptions!A:A,0))+1,J14/(LOOKUP(2,1/('Cost of equity'!A:A="Stable cost of equity"),'Cost of equity'!B:B)-INDEX(Assumptions!B:B,MATCH("Stable growth rate",Assumptions!A:A,0))),"")</f>
      </c>
      <c r="K15" s="24">
        <f>=IF(9=INDEX(Assumptions!B:B,MATCH("Years to stability",Assumptions!A:A,0))+1,K14/(LOOKUP(2,1/('Cost of equity'!A:A="Stable cost of equity"),'Cost of equity'!B:B)-INDEX(Assumptions!B:B,MATCH("Stable growth rate",Assumptions!A:A,0))),"")</f>
      </c>
      <c r="L15" s="24">
        <f>=IF(10=INDEX(Assumptions!B:B,MATCH("Years to stability",Assumptions!A:A,0))+1,L14/(LOOKUP(2,1/('Cost of equity'!A:A="Stable cost of equity"),'Cost of equity'!B:B)-INDEX(Assumptions!B:B,MATCH("Stable growth rate",Assumptions!A:A,0))),"")</f>
      </c>
      <c r="M15" s="24">
        <f>=IF(11=INDEX(Assumptions!B:B,MATCH("Years to stability",Assumptions!A:A,0))+1,M14/(LOOKUP(2,1/('Cost of equity'!A:A="Stable cost of equity"),'Cost of equity'!B:B)-INDEX(Assumptions!B:B,MATCH("Stable growth rate",Assumptions!A:A,0))),"")</f>
      </c>
      <c r="N15" s="24">
        <f>=IF(12=INDEX(Assumptions!B:B,MATCH("Years to stability",Assumptions!A:A,0))+1,N14/(LOOKUP(2,1/('Cost of equity'!A:A="Stable cost of equity"),'Cost of equity'!B:B)-INDEX(Assumptions!B:B,MATCH("Stable growth rate",Assumptions!A:A,0))),"")</f>
      </c>
      <c r="O15" s="24">
        <f>=IF(13=INDEX(Assumptions!B:B,MATCH("Years to stability",Assumptions!A:A,0))+1,O14/(LOOKUP(2,1/('Cost of equity'!A:A="Stable cost of equity"),'Cost of equity'!B:B)-INDEX(Assumptions!B:B,MATCH("Stable growth rate",Assumptions!A:A,0))),"")</f>
      </c>
      <c r="P15" s="24">
        <f>=IF(14=INDEX(Assumptions!B:B,MATCH("Years to stability",Assumptions!A:A,0))+1,P14/(LOOKUP(2,1/('Cost of equity'!A:A="Stable cost of equity"),'Cost of equity'!B:B)-INDEX(Assumptions!B:B,MATCH("Stable growth rate",Assumptions!A:A,0))),"")</f>
      </c>
      <c r="Q15" s="24">
        <f>=IF(15=INDEX(Assumptions!B:B,MATCH("Years to stability",Assumptions!A:A,0))+1,Q14/(LOOKUP(2,1/('Cost of equity'!A:A="Stable cost of equity"),'Cost of equity'!B:B)-INDEX(Assumptions!B:B,MATCH("Stable growth rate",Assumptions!A:A,0))),"")</f>
      </c>
      <c r="R15" s="24">
        <f>=IF(16=INDEX(Assumptions!B:B,MATCH("Years to stability",Assumptions!A:A,0))+1,R14/(LOOKUP(2,1/('Cost of equity'!A:A="Stable cost of equity"),'Cost of equity'!B:B)-INDEX(Assumptions!B:B,MATCH("Stable growth rate",Assumptions!A:A,0))),"")</f>
      </c>
      <c r="S15" s="24">
        <f>=IF(17=INDEX(Assumptions!B:B,MATCH("Years to stability",Assumptions!A:A,0))+1,S14/(LOOKUP(2,1/('Cost of equity'!A:A="Stable cost of equity"),'Cost of equity'!B:B)-INDEX(Assumptions!B:B,MATCH("Stable growth rate",Assumptions!A:A,0))),"")</f>
      </c>
      <c r="T15" s="24">
        <f>=IF(18=INDEX(Assumptions!B:B,MATCH("Years to stability",Assumptions!A:A,0))+1,T14/(LOOKUP(2,1/('Cost of equity'!A:A="Stable cost of equity"),'Cost of equity'!B:B)-INDEX(Assumptions!B:B,MATCH("Stable growth rate",Assumptions!A:A,0))),"")</f>
      </c>
      <c r="U15" s="24">
        <f>=IF(19=INDEX(Assumptions!B:B,MATCH("Years to stability",Assumptions!A:A,0))+1,U14/(LOOKUP(2,1/('Cost of equity'!A:A="Stable cost of equity"),'Cost of equity'!B:B)-INDEX(Assumptions!B:B,MATCH("Stable growth rate",Assumptions!A:A,0))),"")</f>
      </c>
      <c r="V15" s="24">
        <f>=IF(20=INDEX(Assumptions!B:B,MATCH("Years to stability",Assumptions!A:A,0))+1,V14/(LOOKUP(2,1/('Cost of equity'!A:A="Stable cost of equity"),'Cost of equity'!B:B)-INDEX(Assumptions!B:B,MATCH("Stable growth rate",Assumptions!A:A,0))),"")</f>
      </c>
      <c r="W15" s="24">
        <f>=IF(21=INDEX(Assumptions!B:B,MATCH("Years to stability",Assumptions!A:A,0))+1,W14/(LOOKUP(2,1/('Cost of equity'!A:A="Stable cost of equity"),'Cost of equity'!B:B)-INDEX(Assumptions!B:B,MATCH("Stable growth rate",Assumptions!A:A,0))),"")</f>
      </c>
    </row>
    <row r="16" spans="1:23" x14ac:dyDescent="0.25">
      <c r="A16" s="11" t="s">
        <v>75</v>
      </c>
      <c r="B16" s="12"/>
      <c r="C16" s="24">
        <f>=IF(1&gt;INDEX(Assumptions!B:B,MATCH("Years to stability",Assumptions!A:A,0))+1,"",IF(1=INDEX(Assumptions!B:B,MATCH("Years to stability",Assumptions!A:A,0))+1,C15,C14))</f>
      </c>
      <c r="D16" s="24">
        <f>=IF(2&gt;INDEX(Assumptions!B:B,MATCH("Years to stability",Assumptions!A:A,0))+1,"",IF(2=INDEX(Assumptions!B:B,MATCH("Years to stability",Assumptions!A:A,0))+1,D15,D14))</f>
      </c>
      <c r="E16" s="24">
        <f>=IF(3&gt;INDEX(Assumptions!B:B,MATCH("Years to stability",Assumptions!A:A,0))+1,"",IF(3=INDEX(Assumptions!B:B,MATCH("Years to stability",Assumptions!A:A,0))+1,E15,E14))</f>
      </c>
      <c r="F16" s="24">
        <f>=IF(4&gt;INDEX(Assumptions!B:B,MATCH("Years to stability",Assumptions!A:A,0))+1,"",IF(4=INDEX(Assumptions!B:B,MATCH("Years to stability",Assumptions!A:A,0))+1,F15,F14))</f>
      </c>
      <c r="G16" s="24">
        <f>=IF(5&gt;INDEX(Assumptions!B:B,MATCH("Years to stability",Assumptions!A:A,0))+1,"",IF(5=INDEX(Assumptions!B:B,MATCH("Years to stability",Assumptions!A:A,0))+1,G15,G14))</f>
      </c>
      <c r="H16" s="24">
        <f>=IF(6&gt;INDEX(Assumptions!B:B,MATCH("Years to stability",Assumptions!A:A,0))+1,"",IF(6=INDEX(Assumptions!B:B,MATCH("Years to stability",Assumptions!A:A,0))+1,H15,H14))</f>
      </c>
      <c r="I16" s="24">
        <f>=IF(7&gt;INDEX(Assumptions!B:B,MATCH("Years to stability",Assumptions!A:A,0))+1,"",IF(7=INDEX(Assumptions!B:B,MATCH("Years to stability",Assumptions!A:A,0))+1,I15,I14))</f>
      </c>
      <c r="J16" s="24">
        <f>=IF(8&gt;INDEX(Assumptions!B:B,MATCH("Years to stability",Assumptions!A:A,0))+1,"",IF(8=INDEX(Assumptions!B:B,MATCH("Years to stability",Assumptions!A:A,0))+1,J15,J14))</f>
      </c>
      <c r="K16" s="24">
        <f>=IF(9&gt;INDEX(Assumptions!B:B,MATCH("Years to stability",Assumptions!A:A,0))+1,"",IF(9=INDEX(Assumptions!B:B,MATCH("Years to stability",Assumptions!A:A,0))+1,K15,K14))</f>
      </c>
      <c r="L16" s="24">
        <f>=IF(10&gt;INDEX(Assumptions!B:B,MATCH("Years to stability",Assumptions!A:A,0))+1,"",IF(10=INDEX(Assumptions!B:B,MATCH("Years to stability",Assumptions!A:A,0))+1,L15,L14))</f>
      </c>
      <c r="M16" s="24">
        <f>=IF(11&gt;INDEX(Assumptions!B:B,MATCH("Years to stability",Assumptions!A:A,0))+1,"",IF(11=INDEX(Assumptions!B:B,MATCH("Years to stability",Assumptions!A:A,0))+1,M15,M14))</f>
      </c>
      <c r="N16" s="24">
        <f>=IF(12&gt;INDEX(Assumptions!B:B,MATCH("Years to stability",Assumptions!A:A,0))+1,"",IF(12=INDEX(Assumptions!B:B,MATCH("Years to stability",Assumptions!A:A,0))+1,N15,N14))</f>
      </c>
      <c r="O16" s="24">
        <f>=IF(13&gt;INDEX(Assumptions!B:B,MATCH("Years to stability",Assumptions!A:A,0))+1,"",IF(13=INDEX(Assumptions!B:B,MATCH("Years to stability",Assumptions!A:A,0))+1,O15,O14))</f>
      </c>
      <c r="P16" s="24">
        <f>=IF(14&gt;INDEX(Assumptions!B:B,MATCH("Years to stability",Assumptions!A:A,0))+1,"",IF(14=INDEX(Assumptions!B:B,MATCH("Years to stability",Assumptions!A:A,0))+1,P15,P14))</f>
      </c>
      <c r="Q16" s="24">
        <f>=IF(15&gt;INDEX(Assumptions!B:B,MATCH("Years to stability",Assumptions!A:A,0))+1,"",IF(15=INDEX(Assumptions!B:B,MATCH("Years to stability",Assumptions!A:A,0))+1,Q15,Q14))</f>
      </c>
      <c r="R16" s="24">
        <f>=IF(16&gt;INDEX(Assumptions!B:B,MATCH("Years to stability",Assumptions!A:A,0))+1,"",IF(16=INDEX(Assumptions!B:B,MATCH("Years to stability",Assumptions!A:A,0))+1,R15,R14))</f>
      </c>
      <c r="S16" s="24">
        <f>=IF(17&gt;INDEX(Assumptions!B:B,MATCH("Years to stability",Assumptions!A:A,0))+1,"",IF(17=INDEX(Assumptions!B:B,MATCH("Years to stability",Assumptions!A:A,0))+1,S15,S14))</f>
      </c>
      <c r="T16" s="24">
        <f>=IF(18&gt;INDEX(Assumptions!B:B,MATCH("Years to stability",Assumptions!A:A,0))+1,"",IF(18=INDEX(Assumptions!B:B,MATCH("Years to stability",Assumptions!A:A,0))+1,T15,T14))</f>
      </c>
      <c r="U16" s="24">
        <f>=IF(19&gt;INDEX(Assumptions!B:B,MATCH("Years to stability",Assumptions!A:A,0))+1,"",IF(19=INDEX(Assumptions!B:B,MATCH("Years to stability",Assumptions!A:A,0))+1,U15,U14))</f>
      </c>
      <c r="V16" s="24">
        <f>=IF(20&gt;INDEX(Assumptions!B:B,MATCH("Years to stability",Assumptions!A:A,0))+1,"",IF(20=INDEX(Assumptions!B:B,MATCH("Years to stability",Assumptions!A:A,0))+1,V15,V14))</f>
      </c>
      <c r="W16" s="24">
        <f>=IF(21&gt;INDEX(Assumptions!B:B,MATCH("Years to stability",Assumptions!A:A,0))+1,"",IF(21=INDEX(Assumptions!B:B,MATCH("Years to stability",Assumptions!A:A,0))+1,W15,W14))</f>
      </c>
    </row>
    <row r="17" spans="1:23" x14ac:dyDescent="0.25">
      <c r="A17" s="11" t="s">
        <v>76</v>
      </c>
      <c r="B17" s="12"/>
      <c r="C17" s="27">
        <f>=IF(1&lt;=INDEX(Assumptions!B:B,MATCH("Years to stability",Assumptions!A:A,0))+1,(1+C18)^-MAX(0,(INDEX(Summary!B:B,MATCH("Latest financials date",Summary!A:A,0))+365-INDEX(Summary!B:B,MATCH("Valuation date",Summary!A:A,0)))/365),"")</f>
      </c>
      <c r="D17" s="27">
        <f>=IF(2&lt;=INDEX(Assumptions!B:B,MATCH("Years to stability",Assumptions!A:A,0))+1,IF(2=INDEX(Assumptions!B:B,MATCH("Years to stability",Assumptions!A:A,0))+1,C17,C17/(1+D18)),"")</f>
      </c>
      <c r="E17" s="27">
        <f>=IF(3&lt;=INDEX(Assumptions!B:B,MATCH("Years to stability",Assumptions!A:A,0))+1,IF(3=INDEX(Assumptions!B:B,MATCH("Years to stability",Assumptions!A:A,0))+1,D17,D17/(1+E18)),"")</f>
      </c>
      <c r="F17" s="27">
        <f>=IF(4&lt;=INDEX(Assumptions!B:B,MATCH("Years to stability",Assumptions!A:A,0))+1,IF(4=INDEX(Assumptions!B:B,MATCH("Years to stability",Assumptions!A:A,0))+1,E17,E17/(1+F18)),"")</f>
      </c>
      <c r="G17" s="27">
        <f>=IF(5&lt;=INDEX(Assumptions!B:B,MATCH("Years to stability",Assumptions!A:A,0))+1,IF(5=INDEX(Assumptions!B:B,MATCH("Years to stability",Assumptions!A:A,0))+1,F17,F17/(1+G18)),"")</f>
      </c>
      <c r="H17" s="27">
        <f>=IF(6&lt;=INDEX(Assumptions!B:B,MATCH("Years to stability",Assumptions!A:A,0))+1,IF(6=INDEX(Assumptions!B:B,MATCH("Years to stability",Assumptions!A:A,0))+1,G17,G17/(1+H18)),"")</f>
      </c>
      <c r="I17" s="27">
        <f>=IF(7&lt;=INDEX(Assumptions!B:B,MATCH("Years to stability",Assumptions!A:A,0))+1,IF(7=INDEX(Assumptions!B:B,MATCH("Years to stability",Assumptions!A:A,0))+1,H17,H17/(1+I18)),"")</f>
      </c>
      <c r="J17" s="27">
        <f>=IF(8&lt;=INDEX(Assumptions!B:B,MATCH("Years to stability",Assumptions!A:A,0))+1,IF(8=INDEX(Assumptions!B:B,MATCH("Years to stability",Assumptions!A:A,0))+1,I17,I17/(1+J18)),"")</f>
      </c>
      <c r="K17" s="27">
        <f>=IF(9&lt;=INDEX(Assumptions!B:B,MATCH("Years to stability",Assumptions!A:A,0))+1,IF(9=INDEX(Assumptions!B:B,MATCH("Years to stability",Assumptions!A:A,0))+1,J17,J17/(1+K18)),"")</f>
      </c>
      <c r="L17" s="27">
        <f>=IF(10&lt;=INDEX(Assumptions!B:B,MATCH("Years to stability",Assumptions!A:A,0))+1,IF(10=INDEX(Assumptions!B:B,MATCH("Years to stability",Assumptions!A:A,0))+1,K17,K17/(1+L18)),"")</f>
      </c>
      <c r="M17" s="27">
        <f>=IF(11&lt;=INDEX(Assumptions!B:B,MATCH("Years to stability",Assumptions!A:A,0))+1,IF(11=INDEX(Assumptions!B:B,MATCH("Years to stability",Assumptions!A:A,0))+1,L17,L17/(1+M18)),"")</f>
      </c>
      <c r="N17" s="27">
        <f>=IF(12&lt;=INDEX(Assumptions!B:B,MATCH("Years to stability",Assumptions!A:A,0))+1,IF(12=INDEX(Assumptions!B:B,MATCH("Years to stability",Assumptions!A:A,0))+1,M17,M17/(1+N18)),"")</f>
      </c>
      <c r="O17" s="27">
        <f>=IF(13&lt;=INDEX(Assumptions!B:B,MATCH("Years to stability",Assumptions!A:A,0))+1,IF(13=INDEX(Assumptions!B:B,MATCH("Years to stability",Assumptions!A:A,0))+1,N17,N17/(1+O18)),"")</f>
      </c>
      <c r="P17" s="27">
        <f>=IF(14&lt;=INDEX(Assumptions!B:B,MATCH("Years to stability",Assumptions!A:A,0))+1,IF(14=INDEX(Assumptions!B:B,MATCH("Years to stability",Assumptions!A:A,0))+1,O17,O17/(1+P18)),"")</f>
      </c>
      <c r="Q17" s="27">
        <f>=IF(15&lt;=INDEX(Assumptions!B:B,MATCH("Years to stability",Assumptions!A:A,0))+1,IF(15=INDEX(Assumptions!B:B,MATCH("Years to stability",Assumptions!A:A,0))+1,P17,P17/(1+Q18)),"")</f>
      </c>
      <c r="R17" s="27">
        <f>=IF(16&lt;=INDEX(Assumptions!B:B,MATCH("Years to stability",Assumptions!A:A,0))+1,IF(16=INDEX(Assumptions!B:B,MATCH("Years to stability",Assumptions!A:A,0))+1,Q17,Q17/(1+R18)),"")</f>
      </c>
      <c r="S17" s="27">
        <f>=IF(17&lt;=INDEX(Assumptions!B:B,MATCH("Years to stability",Assumptions!A:A,0))+1,IF(17=INDEX(Assumptions!B:B,MATCH("Years to stability",Assumptions!A:A,0))+1,R17,R17/(1+S18)),"")</f>
      </c>
      <c r="T17" s="27">
        <f>=IF(18&lt;=INDEX(Assumptions!B:B,MATCH("Years to stability",Assumptions!A:A,0))+1,IF(18=INDEX(Assumptions!B:B,MATCH("Years to stability",Assumptions!A:A,0))+1,S17,S17/(1+T18)),"")</f>
      </c>
      <c r="U17" s="27">
        <f>=IF(19&lt;=INDEX(Assumptions!B:B,MATCH("Years to stability",Assumptions!A:A,0))+1,IF(19=INDEX(Assumptions!B:B,MATCH("Years to stability",Assumptions!A:A,0))+1,T17,T17/(1+U18)),"")</f>
      </c>
      <c r="V17" s="27">
        <f>=IF(20&lt;=INDEX(Assumptions!B:B,MATCH("Years to stability",Assumptions!A:A,0))+1,IF(20=INDEX(Assumptions!B:B,MATCH("Years to stability",Assumptions!A:A,0))+1,U17,U17/(1+V18)),"")</f>
      </c>
      <c r="W17" s="27">
        <f>=IF(21&lt;=INDEX(Assumptions!B:B,MATCH("Years to stability",Assumptions!A:A,0))+1,IF(21=INDEX(Assumptions!B:B,MATCH("Years to stability",Assumptions!A:A,0))+1,V17,V17/(1+W18)),"")</f>
      </c>
    </row>
    <row r="18" spans="1:23" x14ac:dyDescent="0.25">
      <c r="A18" s="11" t="s">
        <v>77</v>
      </c>
      <c r="B18" s="12"/>
      <c r="C18" s="25">
        <f>=IF(1&lt;=INDEX(Assumptions!B:B,MATCH("Years to stability",Assumptions!A:A,0))+1,LOOKUP(2,1/('Cost of equity'!A:A="Cost of equity"),'Cost of equity'!B:B)+((MIN(1-1,INDEX(Assumptions!B:B,MATCH("Years to stability",Assumptions!A:A,0))-1))/(INDEX(Assumptions!B:B,MATCH("Years to stability",Assumptions!A:A,0))-1))*(LOOKUP(2,1/('Cost of equity'!A:A="Stable cost of equity"),'Cost of equity'!B:B)-LOOKUP(2,1/('Cost of equity'!A:A="Cost of equity"),'Cost of equity'!B:B)),"")</f>
      </c>
      <c r="D18" s="25">
        <f>=IF(2&lt;=INDEX(Assumptions!B:B,MATCH("Years to stability",Assumptions!A:A,0))+1,LOOKUP(2,1/('Cost of equity'!A:A="Cost of equity"),'Cost of equity'!B:B)+((MIN(2-1,INDEX(Assumptions!B:B,MATCH("Years to stability",Assumptions!A:A,0))-1))/(INDEX(Assumptions!B:B,MATCH("Years to stability",Assumptions!A:A,0))-1))*(LOOKUP(2,1/('Cost of equity'!A:A="Stable cost of equity"),'Cost of equity'!B:B)-LOOKUP(2,1/('Cost of equity'!A:A="Cost of equity"),'Cost of equity'!B:B)),"")</f>
      </c>
      <c r="E18" s="25">
        <f>=IF(3&lt;=INDEX(Assumptions!B:B,MATCH("Years to stability",Assumptions!A:A,0))+1,LOOKUP(2,1/('Cost of equity'!A:A="Cost of equity"),'Cost of equity'!B:B)+((MIN(3-1,INDEX(Assumptions!B:B,MATCH("Years to stability",Assumptions!A:A,0))-1))/(INDEX(Assumptions!B:B,MATCH("Years to stability",Assumptions!A:A,0))-1))*(LOOKUP(2,1/('Cost of equity'!A:A="Stable cost of equity"),'Cost of equity'!B:B)-LOOKUP(2,1/('Cost of equity'!A:A="Cost of equity"),'Cost of equity'!B:B)),"")</f>
      </c>
      <c r="F18" s="25">
        <f>=IF(4&lt;=INDEX(Assumptions!B:B,MATCH("Years to stability",Assumptions!A:A,0))+1,LOOKUP(2,1/('Cost of equity'!A:A="Cost of equity"),'Cost of equity'!B:B)+((MIN(4-1,INDEX(Assumptions!B:B,MATCH("Years to stability",Assumptions!A:A,0))-1))/(INDEX(Assumptions!B:B,MATCH("Years to stability",Assumptions!A:A,0))-1))*(LOOKUP(2,1/('Cost of equity'!A:A="Stable cost of equity"),'Cost of equity'!B:B)-LOOKUP(2,1/('Cost of equity'!A:A="Cost of equity"),'Cost of equity'!B:B)),"")</f>
      </c>
      <c r="G18" s="25">
        <f>=IF(5&lt;=INDEX(Assumptions!B:B,MATCH("Years to stability",Assumptions!A:A,0))+1,LOOKUP(2,1/('Cost of equity'!A:A="Cost of equity"),'Cost of equity'!B:B)+((MIN(5-1,INDEX(Assumptions!B:B,MATCH("Years to stability",Assumptions!A:A,0))-1))/(INDEX(Assumptions!B:B,MATCH("Years to stability",Assumptions!A:A,0))-1))*(LOOKUP(2,1/('Cost of equity'!A:A="Stable cost of equity"),'Cost of equity'!B:B)-LOOKUP(2,1/('Cost of equity'!A:A="Cost of equity"),'Cost of equity'!B:B)),"")</f>
      </c>
      <c r="H18" s="25">
        <f>=IF(6&lt;=INDEX(Assumptions!B:B,MATCH("Years to stability",Assumptions!A:A,0))+1,LOOKUP(2,1/('Cost of equity'!A:A="Cost of equity"),'Cost of equity'!B:B)+((MIN(6-1,INDEX(Assumptions!B:B,MATCH("Years to stability",Assumptions!A:A,0))-1))/(INDEX(Assumptions!B:B,MATCH("Years to stability",Assumptions!A:A,0))-1))*(LOOKUP(2,1/('Cost of equity'!A:A="Stable cost of equity"),'Cost of equity'!B:B)-LOOKUP(2,1/('Cost of equity'!A:A="Cost of equity"),'Cost of equity'!B:B)),"")</f>
      </c>
      <c r="I18" s="25">
        <f>=IF(7&lt;=INDEX(Assumptions!B:B,MATCH("Years to stability",Assumptions!A:A,0))+1,LOOKUP(2,1/('Cost of equity'!A:A="Cost of equity"),'Cost of equity'!B:B)+((MIN(7-1,INDEX(Assumptions!B:B,MATCH("Years to stability",Assumptions!A:A,0))-1))/(INDEX(Assumptions!B:B,MATCH("Years to stability",Assumptions!A:A,0))-1))*(LOOKUP(2,1/('Cost of equity'!A:A="Stable cost of equity"),'Cost of equity'!B:B)-LOOKUP(2,1/('Cost of equity'!A:A="Cost of equity"),'Cost of equity'!B:B)),"")</f>
      </c>
      <c r="J18" s="25">
        <f>=IF(8&lt;=INDEX(Assumptions!B:B,MATCH("Years to stability",Assumptions!A:A,0))+1,LOOKUP(2,1/('Cost of equity'!A:A="Cost of equity"),'Cost of equity'!B:B)+((MIN(8-1,INDEX(Assumptions!B:B,MATCH("Years to stability",Assumptions!A:A,0))-1))/(INDEX(Assumptions!B:B,MATCH("Years to stability",Assumptions!A:A,0))-1))*(LOOKUP(2,1/('Cost of equity'!A:A="Stable cost of equity"),'Cost of equity'!B:B)-LOOKUP(2,1/('Cost of equity'!A:A="Cost of equity"),'Cost of equity'!B:B)),"")</f>
      </c>
      <c r="K18" s="25">
        <f>=IF(9&lt;=INDEX(Assumptions!B:B,MATCH("Years to stability",Assumptions!A:A,0))+1,LOOKUP(2,1/('Cost of equity'!A:A="Cost of equity"),'Cost of equity'!B:B)+((MIN(9-1,INDEX(Assumptions!B:B,MATCH("Years to stability",Assumptions!A:A,0))-1))/(INDEX(Assumptions!B:B,MATCH("Years to stability",Assumptions!A:A,0))-1))*(LOOKUP(2,1/('Cost of equity'!A:A="Stable cost of equity"),'Cost of equity'!B:B)-LOOKUP(2,1/('Cost of equity'!A:A="Cost of equity"),'Cost of equity'!B:B)),"")</f>
      </c>
      <c r="L18" s="25">
        <f>=IF(10&lt;=INDEX(Assumptions!B:B,MATCH("Years to stability",Assumptions!A:A,0))+1,LOOKUP(2,1/('Cost of equity'!A:A="Cost of equity"),'Cost of equity'!B:B)+((MIN(10-1,INDEX(Assumptions!B:B,MATCH("Years to stability",Assumptions!A:A,0))-1))/(INDEX(Assumptions!B:B,MATCH("Years to stability",Assumptions!A:A,0))-1))*(LOOKUP(2,1/('Cost of equity'!A:A="Stable cost of equity"),'Cost of equity'!B:B)-LOOKUP(2,1/('Cost of equity'!A:A="Cost of equity"),'Cost of equity'!B:B)),"")</f>
      </c>
      <c r="M18" s="25">
        <f>=IF(11&lt;=INDEX(Assumptions!B:B,MATCH("Years to stability",Assumptions!A:A,0))+1,LOOKUP(2,1/('Cost of equity'!A:A="Cost of equity"),'Cost of equity'!B:B)+((MIN(11-1,INDEX(Assumptions!B:B,MATCH("Years to stability",Assumptions!A:A,0))-1))/(INDEX(Assumptions!B:B,MATCH("Years to stability",Assumptions!A:A,0))-1))*(LOOKUP(2,1/('Cost of equity'!A:A="Stable cost of equity"),'Cost of equity'!B:B)-LOOKUP(2,1/('Cost of equity'!A:A="Cost of equity"),'Cost of equity'!B:B)),"")</f>
      </c>
      <c r="N18" s="25">
        <f>=IF(12&lt;=INDEX(Assumptions!B:B,MATCH("Years to stability",Assumptions!A:A,0))+1,LOOKUP(2,1/('Cost of equity'!A:A="Cost of equity"),'Cost of equity'!B:B)+((MIN(12-1,INDEX(Assumptions!B:B,MATCH("Years to stability",Assumptions!A:A,0))-1))/(INDEX(Assumptions!B:B,MATCH("Years to stability",Assumptions!A:A,0))-1))*(LOOKUP(2,1/('Cost of equity'!A:A="Stable cost of equity"),'Cost of equity'!B:B)-LOOKUP(2,1/('Cost of equity'!A:A="Cost of equity"),'Cost of equity'!B:B)),"")</f>
      </c>
      <c r="O18" s="25">
        <f>=IF(13&lt;=INDEX(Assumptions!B:B,MATCH("Years to stability",Assumptions!A:A,0))+1,LOOKUP(2,1/('Cost of equity'!A:A="Cost of equity"),'Cost of equity'!B:B)+((MIN(13-1,INDEX(Assumptions!B:B,MATCH("Years to stability",Assumptions!A:A,0))-1))/(INDEX(Assumptions!B:B,MATCH("Years to stability",Assumptions!A:A,0))-1))*(LOOKUP(2,1/('Cost of equity'!A:A="Stable cost of equity"),'Cost of equity'!B:B)-LOOKUP(2,1/('Cost of equity'!A:A="Cost of equity"),'Cost of equity'!B:B)),"")</f>
      </c>
      <c r="P18" s="25">
        <f>=IF(14&lt;=INDEX(Assumptions!B:B,MATCH("Years to stability",Assumptions!A:A,0))+1,LOOKUP(2,1/('Cost of equity'!A:A="Cost of equity"),'Cost of equity'!B:B)+((MIN(14-1,INDEX(Assumptions!B:B,MATCH("Years to stability",Assumptions!A:A,0))-1))/(INDEX(Assumptions!B:B,MATCH("Years to stability",Assumptions!A:A,0))-1))*(LOOKUP(2,1/('Cost of equity'!A:A="Stable cost of equity"),'Cost of equity'!B:B)-LOOKUP(2,1/('Cost of equity'!A:A="Cost of equity"),'Cost of equity'!B:B)),"")</f>
      </c>
      <c r="Q18" s="25">
        <f>=IF(15&lt;=INDEX(Assumptions!B:B,MATCH("Years to stability",Assumptions!A:A,0))+1,LOOKUP(2,1/('Cost of equity'!A:A="Cost of equity"),'Cost of equity'!B:B)+((MIN(15-1,INDEX(Assumptions!B:B,MATCH("Years to stability",Assumptions!A:A,0))-1))/(INDEX(Assumptions!B:B,MATCH("Years to stability",Assumptions!A:A,0))-1))*(LOOKUP(2,1/('Cost of equity'!A:A="Stable cost of equity"),'Cost of equity'!B:B)-LOOKUP(2,1/('Cost of equity'!A:A="Cost of equity"),'Cost of equity'!B:B)),"")</f>
      </c>
      <c r="R18" s="25">
        <f>=IF(16&lt;=INDEX(Assumptions!B:B,MATCH("Years to stability",Assumptions!A:A,0))+1,LOOKUP(2,1/('Cost of equity'!A:A="Cost of equity"),'Cost of equity'!B:B)+((MIN(16-1,INDEX(Assumptions!B:B,MATCH("Years to stability",Assumptions!A:A,0))-1))/(INDEX(Assumptions!B:B,MATCH("Years to stability",Assumptions!A:A,0))-1))*(LOOKUP(2,1/('Cost of equity'!A:A="Stable cost of equity"),'Cost of equity'!B:B)-LOOKUP(2,1/('Cost of equity'!A:A="Cost of equity"),'Cost of equity'!B:B)),"")</f>
      </c>
      <c r="S18" s="25">
        <f>=IF(17&lt;=INDEX(Assumptions!B:B,MATCH("Years to stability",Assumptions!A:A,0))+1,LOOKUP(2,1/('Cost of equity'!A:A="Cost of equity"),'Cost of equity'!B:B)+((MIN(17-1,INDEX(Assumptions!B:B,MATCH("Years to stability",Assumptions!A:A,0))-1))/(INDEX(Assumptions!B:B,MATCH("Years to stability",Assumptions!A:A,0))-1))*(LOOKUP(2,1/('Cost of equity'!A:A="Stable cost of equity"),'Cost of equity'!B:B)-LOOKUP(2,1/('Cost of equity'!A:A="Cost of equity"),'Cost of equity'!B:B)),"")</f>
      </c>
      <c r="T18" s="25">
        <f>=IF(18&lt;=INDEX(Assumptions!B:B,MATCH("Years to stability",Assumptions!A:A,0))+1,LOOKUP(2,1/('Cost of equity'!A:A="Cost of equity"),'Cost of equity'!B:B)+((MIN(18-1,INDEX(Assumptions!B:B,MATCH("Years to stability",Assumptions!A:A,0))-1))/(INDEX(Assumptions!B:B,MATCH("Years to stability",Assumptions!A:A,0))-1))*(LOOKUP(2,1/('Cost of equity'!A:A="Stable cost of equity"),'Cost of equity'!B:B)-LOOKUP(2,1/('Cost of equity'!A:A="Cost of equity"),'Cost of equity'!B:B)),"")</f>
      </c>
      <c r="U18" s="25">
        <f>=IF(19&lt;=INDEX(Assumptions!B:B,MATCH("Years to stability",Assumptions!A:A,0))+1,LOOKUP(2,1/('Cost of equity'!A:A="Cost of equity"),'Cost of equity'!B:B)+((MIN(19-1,INDEX(Assumptions!B:B,MATCH("Years to stability",Assumptions!A:A,0))-1))/(INDEX(Assumptions!B:B,MATCH("Years to stability",Assumptions!A:A,0))-1))*(LOOKUP(2,1/('Cost of equity'!A:A="Stable cost of equity"),'Cost of equity'!B:B)-LOOKUP(2,1/('Cost of equity'!A:A="Cost of equity"),'Cost of equity'!B:B)),"")</f>
      </c>
      <c r="V18" s="25">
        <f>=IF(20&lt;=INDEX(Assumptions!B:B,MATCH("Years to stability",Assumptions!A:A,0))+1,LOOKUP(2,1/('Cost of equity'!A:A="Cost of equity"),'Cost of equity'!B:B)+((MIN(20-1,INDEX(Assumptions!B:B,MATCH("Years to stability",Assumptions!A:A,0))-1))/(INDEX(Assumptions!B:B,MATCH("Years to stability",Assumptions!A:A,0))-1))*(LOOKUP(2,1/('Cost of equity'!A:A="Stable cost of equity"),'Cost of equity'!B:B)-LOOKUP(2,1/('Cost of equity'!A:A="Cost of equity"),'Cost of equity'!B:B)),"")</f>
      </c>
      <c r="W18" s="25">
        <f>=IF(21&lt;=INDEX(Assumptions!B:B,MATCH("Years to stability",Assumptions!A:A,0))+1,LOOKUP(2,1/('Cost of equity'!A:A="Cost of equity"),'Cost of equity'!B:B)+((MIN(21-1,INDEX(Assumptions!B:B,MATCH("Years to stability",Assumptions!A:A,0))-1))/(INDEX(Assumptions!B:B,MATCH("Years to stability",Assumptions!A:A,0))-1))*(LOOKUP(2,1/('Cost of equity'!A:A="Stable cost of equity"),'Cost of equity'!B:B)-LOOKUP(2,1/('Cost of equity'!A:A="Cost of equity"),'Cost of equity'!B:B)),"")</f>
      </c>
    </row>
    <row r="19" spans="1:23" x14ac:dyDescent="0.25">
      <c r="A19" s="11" t="s">
        <v>78</v>
      </c>
      <c r="B19" s="12"/>
      <c r="C19" s="24">
        <f>=IF(1&lt;=INDEX(Assumptions!B:B,MATCH("Years to stability",Assumptions!A:A,0))+1,C16*C17,"")</f>
      </c>
      <c r="D19" s="24">
        <f>=IF(2&lt;=INDEX(Assumptions!B:B,MATCH("Years to stability",Assumptions!A:A,0))+1,D16*D17,"")</f>
      </c>
      <c r="E19" s="24">
        <f>=IF(3&lt;=INDEX(Assumptions!B:B,MATCH("Years to stability",Assumptions!A:A,0))+1,E16*E17,"")</f>
      </c>
      <c r="F19" s="24">
        <f>=IF(4&lt;=INDEX(Assumptions!B:B,MATCH("Years to stability",Assumptions!A:A,0))+1,F16*F17,"")</f>
      </c>
      <c r="G19" s="24">
        <f>=IF(5&lt;=INDEX(Assumptions!B:B,MATCH("Years to stability",Assumptions!A:A,0))+1,G16*G17,"")</f>
      </c>
      <c r="H19" s="24">
        <f>=IF(6&lt;=INDEX(Assumptions!B:B,MATCH("Years to stability",Assumptions!A:A,0))+1,H16*H17,"")</f>
      </c>
      <c r="I19" s="24">
        <f>=IF(7&lt;=INDEX(Assumptions!B:B,MATCH("Years to stability",Assumptions!A:A,0))+1,I16*I17,"")</f>
      </c>
      <c r="J19" s="24">
        <f>=IF(8&lt;=INDEX(Assumptions!B:B,MATCH("Years to stability",Assumptions!A:A,0))+1,J16*J17,"")</f>
      </c>
      <c r="K19" s="24">
        <f>=IF(9&lt;=INDEX(Assumptions!B:B,MATCH("Years to stability",Assumptions!A:A,0))+1,K16*K17,"")</f>
      </c>
      <c r="L19" s="24">
        <f>=IF(10&lt;=INDEX(Assumptions!B:B,MATCH("Years to stability",Assumptions!A:A,0))+1,L16*L17,"")</f>
      </c>
      <c r="M19" s="24">
        <f>=IF(11&lt;=INDEX(Assumptions!B:B,MATCH("Years to stability",Assumptions!A:A,0))+1,M16*M17,"")</f>
      </c>
      <c r="N19" s="24">
        <f>=IF(12&lt;=INDEX(Assumptions!B:B,MATCH("Years to stability",Assumptions!A:A,0))+1,N16*N17,"")</f>
      </c>
      <c r="O19" s="24">
        <f>=IF(13&lt;=INDEX(Assumptions!B:B,MATCH("Years to stability",Assumptions!A:A,0))+1,O16*O17,"")</f>
      </c>
      <c r="P19" s="24">
        <f>=IF(14&lt;=INDEX(Assumptions!B:B,MATCH("Years to stability",Assumptions!A:A,0))+1,P16*P17,"")</f>
      </c>
      <c r="Q19" s="24">
        <f>=IF(15&lt;=INDEX(Assumptions!B:B,MATCH("Years to stability",Assumptions!A:A,0))+1,Q16*Q17,"")</f>
      </c>
      <c r="R19" s="24">
        <f>=IF(16&lt;=INDEX(Assumptions!B:B,MATCH("Years to stability",Assumptions!A:A,0))+1,R16*R17,"")</f>
      </c>
      <c r="S19" s="24">
        <f>=IF(17&lt;=INDEX(Assumptions!B:B,MATCH("Years to stability",Assumptions!A:A,0))+1,S16*S17,"")</f>
      </c>
      <c r="T19" s="24">
        <f>=IF(18&lt;=INDEX(Assumptions!B:B,MATCH("Years to stability",Assumptions!A:A,0))+1,T16*T17,"")</f>
      </c>
      <c r="U19" s="24">
        <f>=IF(19&lt;=INDEX(Assumptions!B:B,MATCH("Years to stability",Assumptions!A:A,0))+1,U16*U17,"")</f>
      </c>
      <c r="V19" s="24">
        <f>=IF(20&lt;=INDEX(Assumptions!B:B,MATCH("Years to stability",Assumptions!A:A,0))+1,V16*V17,"")</f>
      </c>
      <c r="W19" s="24">
        <f>=IF(21&lt;=INDEX(Assumptions!B:B,MATCH("Years to stability",Assumptions!A:A,0))+1,W16*W17,"")</f>
      </c>
    </row>
    <row r="21" spans="1:23" x14ac:dyDescent="0.25">
      <c r="A21" s="11" t="s">
        <v>79</v>
      </c>
      <c r="B21" s="24">
        <f>=SUM(C19:W19)</f>
      </c>
      <c r="C21" s="12"/>
      <c r="D21" s="12"/>
      <c r="E21" s="12"/>
      <c r="F21" s="12"/>
      <c r="G21" s="12"/>
      <c r="H21" s="12"/>
      <c r="I21" s="12"/>
      <c r="J21" s="12"/>
      <c r="K21" s="12"/>
      <c r="L21" s="12"/>
      <c r="M21" s="12"/>
      <c r="N21" s="12"/>
      <c r="O21" s="12"/>
      <c r="P21" s="12"/>
      <c r="Q21" s="12"/>
      <c r="R21" s="12"/>
      <c r="S21" s="12"/>
      <c r="T21" s="12"/>
      <c r="U21" s="12"/>
      <c r="V21" s="12"/>
      <c r="W21" s="12"/>
    </row>
    <row r="22" spans="1:23" x14ac:dyDescent="0.25">
      <c r="A22" s="11" t="s">
        <v>80</v>
      </c>
      <c r="B22" s="24">
        <f>=B21-B25</f>
      </c>
      <c r="C22" s="12"/>
      <c r="D22" s="12"/>
      <c r="E22" s="12"/>
      <c r="F22" s="12"/>
      <c r="G22" s="12"/>
      <c r="H22" s="12"/>
      <c r="I22" s="12"/>
      <c r="J22" s="12"/>
      <c r="K22" s="12"/>
      <c r="L22" s="12"/>
      <c r="M22" s="12"/>
      <c r="N22" s="12"/>
      <c r="O22" s="12"/>
      <c r="P22" s="12"/>
      <c r="Q22" s="12"/>
      <c r="R22" s="12"/>
      <c r="S22" s="12"/>
      <c r="T22" s="12"/>
      <c r="U22" s="12"/>
      <c r="V22" s="12"/>
      <c r="W22" s="12"/>
    </row>
    <row r="23" spans="1:23" x14ac:dyDescent="0.25">
      <c r="A23" s="11" t="s">
        <v>81</v>
      </c>
      <c r="B23" s="14">
        <v>0.032</v>
      </c>
      <c r="C23" s="12"/>
      <c r="D23" s="12"/>
      <c r="E23" s="12"/>
      <c r="F23" s="12"/>
      <c r="G23" s="12"/>
      <c r="H23" s="12"/>
      <c r="I23" s="12"/>
      <c r="J23" s="12"/>
      <c r="K23" s="12"/>
      <c r="L23" s="12"/>
      <c r="M23" s="12"/>
      <c r="N23" s="12"/>
      <c r="O23" s="12"/>
      <c r="P23" s="12"/>
      <c r="Q23" s="12"/>
      <c r="R23" s="12"/>
      <c r="S23" s="12"/>
      <c r="T23" s="12"/>
      <c r="U23" s="12"/>
      <c r="V23" s="12"/>
      <c r="W23" s="12"/>
    </row>
    <row r="24" spans="1:23" x14ac:dyDescent="0.25">
      <c r="A24" s="11" t="s">
        <v>82</v>
      </c>
      <c r="B24" s="25">
        <f>=INDEX(Assumptions!B:B,MATCH("Recovery ratio",Assumptions!A:A,0))</f>
      </c>
      <c r="C24" s="12"/>
      <c r="D24" s="12"/>
      <c r="E24" s="12"/>
      <c r="F24" s="12"/>
      <c r="G24" s="12"/>
      <c r="H24" s="12"/>
      <c r="I24" s="12"/>
      <c r="J24" s="12"/>
      <c r="K24" s="12"/>
      <c r="L24" s="12"/>
      <c r="M24" s="12"/>
      <c r="N24" s="12"/>
      <c r="O24" s="12"/>
      <c r="P24" s="12"/>
      <c r="Q24" s="12"/>
      <c r="R24" s="12"/>
      <c r="S24" s="12"/>
      <c r="T24" s="12"/>
      <c r="U24" s="12"/>
      <c r="V24" s="12"/>
      <c r="W24" s="12"/>
    </row>
    <row r="25" spans="1:23" x14ac:dyDescent="0.25">
      <c r="A25" s="11" t="s">
        <v>83</v>
      </c>
      <c r="B25" s="24">
        <f>=(1-B23)*B21+B23*(B24*B11)</f>
      </c>
      <c r="C25" s="12"/>
      <c r="D25" s="12"/>
      <c r="E25" s="12"/>
      <c r="F25" s="12"/>
      <c r="G25" s="12"/>
      <c r="H25" s="12"/>
      <c r="I25" s="12"/>
      <c r="J25" s="12"/>
      <c r="K25" s="12"/>
      <c r="L25" s="12"/>
      <c r="M25" s="12"/>
      <c r="N25" s="12"/>
      <c r="O25" s="12"/>
      <c r="P25" s="12"/>
      <c r="Q25" s="12"/>
      <c r="R25" s="12"/>
      <c r="S25" s="12"/>
      <c r="T25" s="12"/>
      <c r="U25" s="12"/>
      <c r="V25" s="12"/>
      <c r="W25" s="12"/>
    </row>
    <row r="26" spans="1:23" x14ac:dyDescent="0.25">
      <c r="A26" s="11" t="s">
        <v>84</v>
      </c>
      <c r="B26" s="28">
        <v>0</v>
      </c>
      <c r="C26" s="12"/>
      <c r="D26" s="12"/>
      <c r="E26" s="12"/>
      <c r="F26" s="12"/>
      <c r="G26" s="12"/>
      <c r="H26" s="12"/>
      <c r="I26" s="12"/>
      <c r="J26" s="12"/>
      <c r="K26" s="12"/>
      <c r="L26" s="12"/>
      <c r="M26" s="12"/>
      <c r="N26" s="12"/>
      <c r="O26" s="12"/>
      <c r="P26" s="12"/>
      <c r="Q26" s="12"/>
      <c r="R26" s="12"/>
      <c r="S26" s="12"/>
      <c r="T26" s="12"/>
      <c r="U26" s="12"/>
      <c r="V26" s="12"/>
      <c r="W26" s="12"/>
    </row>
    <row r="27" spans="1:23" x14ac:dyDescent="0.25">
      <c r="A27" s="11" t="s">
        <v>85</v>
      </c>
      <c r="B27" s="28">
        <v>659.2</v>
      </c>
      <c r="C27" s="12"/>
      <c r="D27" s="12"/>
      <c r="E27" s="12"/>
      <c r="F27" s="12"/>
      <c r="G27" s="12"/>
      <c r="H27" s="12"/>
      <c r="I27" s="12"/>
      <c r="J27" s="12"/>
      <c r="K27" s="12"/>
      <c r="L27" s="12"/>
      <c r="M27" s="12"/>
      <c r="N27" s="12"/>
      <c r="O27" s="12"/>
      <c r="P27" s="12"/>
      <c r="Q27" s="12"/>
      <c r="R27" s="12"/>
      <c r="S27" s="12"/>
      <c r="T27" s="12"/>
      <c r="U27" s="12"/>
      <c r="V27" s="12"/>
      <c r="W27" s="12"/>
    </row>
    <row r="28" spans="1:23" x14ac:dyDescent="0.25">
      <c r="A28" s="11" t="s">
        <v>86</v>
      </c>
      <c r="B28" s="24">
        <f>=B25-B26-B27</f>
      </c>
      <c r="C28" s="12"/>
      <c r="D28" s="12"/>
      <c r="E28" s="12"/>
      <c r="F28" s="12"/>
      <c r="G28" s="12"/>
      <c r="H28" s="12"/>
      <c r="I28" s="12"/>
      <c r="J28" s="12"/>
      <c r="K28" s="12"/>
      <c r="L28" s="12"/>
      <c r="M28" s="12"/>
      <c r="N28" s="12"/>
      <c r="O28" s="12"/>
      <c r="P28" s="12"/>
      <c r="Q28" s="12"/>
      <c r="R28" s="12"/>
      <c r="S28" s="12"/>
      <c r="T28" s="12"/>
      <c r="U28" s="12"/>
      <c r="V28" s="12"/>
      <c r="W28" s="12"/>
    </row>
    <row r="29" spans="1:23" x14ac:dyDescent="0.25">
      <c r="A29" s="11" t="s">
        <v>87</v>
      </c>
      <c r="B29" s="29">
        <f>=Summary!B20</f>
      </c>
      <c r="C29" s="12"/>
      <c r="D29" s="12"/>
      <c r="E29" s="12"/>
      <c r="F29" s="12"/>
      <c r="G29" s="12"/>
      <c r="H29" s="12"/>
      <c r="I29" s="12"/>
      <c r="J29" s="12"/>
      <c r="K29" s="12"/>
      <c r="L29" s="12"/>
      <c r="M29" s="12"/>
      <c r="N29" s="12"/>
      <c r="O29" s="12"/>
      <c r="P29" s="12"/>
      <c r="Q29" s="12"/>
      <c r="R29" s="12"/>
      <c r="S29" s="12"/>
      <c r="T29" s="12"/>
      <c r="U29" s="12"/>
      <c r="V29" s="12"/>
      <c r="W29" s="12"/>
    </row>
    <row r="30" spans="1:23" x14ac:dyDescent="0.25">
      <c r="A30" s="11" t="s">
        <v>88</v>
      </c>
      <c r="B30" s="30">
        <f>=B28/B29</f>
      </c>
      <c r="C30" s="12"/>
      <c r="D30" s="12"/>
      <c r="E30" s="12"/>
      <c r="F30" s="12"/>
      <c r="G30" s="12"/>
      <c r="H30" s="12"/>
      <c r="I30" s="12"/>
      <c r="J30" s="12"/>
      <c r="K30" s="12"/>
      <c r="L30" s="12"/>
      <c r="M30" s="12"/>
      <c r="N30" s="12"/>
      <c r="O30" s="12"/>
      <c r="P30" s="12"/>
      <c r="Q30" s="12"/>
      <c r="R30" s="12"/>
      <c r="S30" s="12"/>
      <c r="T30" s="12"/>
      <c r="U30" s="12"/>
      <c r="V30" s="12"/>
      <c r="W30" s="12"/>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owGridLines="0"/>
  </sheetViews>
  <sheetFormatPr defaultRowHeight="15" outlineLevelRow="0" outlineLevelCol="0" x14ac:dyDescent="55"/>
  <cols>
    <col min="1" max="1" width="25" style="6" customWidth="1"/>
    <col min="2" max="2" width="15" style="7" customWidth="1"/>
    <col min="3" max="3" width="15" style="6" customWidth="1"/>
    <col min="4" max="6" width="20" style="7" customWidth="1"/>
  </cols>
  <sheetData>
    <row r="1" spans="1:6" s="8" customFormat="1" x14ac:dyDescent="0.25">
      <c r="A1" s="9" t="s">
        <v>89</v>
      </c>
      <c r="B1" s="10"/>
      <c r="C1" s="9"/>
      <c r="D1" s="10"/>
      <c r="E1" s="10"/>
      <c r="F1" s="10"/>
    </row>
    <row r="2" spans="1:6" x14ac:dyDescent="0.25">
      <c r="A2" s="11" t="s">
        <v>10</v>
      </c>
      <c r="B2" s="12"/>
      <c r="C2" s="11"/>
      <c r="D2" s="12"/>
      <c r="E2" s="12"/>
      <c r="F2" s="12"/>
    </row>
    <row r="4" spans="1:6" s="17" customFormat="1" x14ac:dyDescent="0.25">
      <c r="A4" s="18" t="s">
        <v>90</v>
      </c>
      <c r="B4" s="31"/>
      <c r="C4" s="18"/>
      <c r="D4" s="31"/>
      <c r="E4" s="31"/>
      <c r="F4" s="31"/>
    </row>
    <row r="5" spans="1:6" s="32" customFormat="1" x14ac:dyDescent="0.25">
      <c r="A5" s="21" t="s">
        <v>91</v>
      </c>
      <c r="B5" s="22" t="s">
        <v>92</v>
      </c>
      <c r="C5" s="21" t="s">
        <v>93</v>
      </c>
      <c r="D5" s="22" t="s">
        <v>94</v>
      </c>
      <c r="E5" s="22" t="s">
        <v>95</v>
      </c>
      <c r="F5" s="22" t="s">
        <v>96</v>
      </c>
    </row>
    <row r="6" spans="1:6" x14ac:dyDescent="0.25">
      <c r="A6" s="33">
        <v>0</v>
      </c>
      <c r="B6" s="13">
        <v>0</v>
      </c>
      <c r="C6" s="34">
        <v>0</v>
      </c>
      <c r="D6" s="14">
        <v>0</v>
      </c>
      <c r="E6" s="14">
        <v>0</v>
      </c>
      <c r="F6" s="35"/>
    </row>
    <row r="8" spans="1:6" s="17" customFormat="1" x14ac:dyDescent="0.25">
      <c r="A8" s="18" t="s">
        <v>97</v>
      </c>
      <c r="B8" s="31"/>
      <c r="C8" s="18"/>
      <c r="D8" s="31"/>
      <c r="E8" s="31"/>
      <c r="F8" s="31"/>
    </row>
    <row r="9" spans="1:6" s="32" customFormat="1" x14ac:dyDescent="0.25">
      <c r="A9" s="21" t="s">
        <v>98</v>
      </c>
      <c r="B9" s="22" t="s">
        <v>96</v>
      </c>
      <c r="C9" s="21" t="s">
        <v>99</v>
      </c>
      <c r="D9" s="36"/>
      <c r="E9" s="36"/>
      <c r="F9" s="36"/>
    </row>
    <row r="10" spans="1:6" x14ac:dyDescent="0.25">
      <c r="A10" s="11" t="s">
        <v>100</v>
      </c>
      <c r="B10" s="16">
        <v>0</v>
      </c>
      <c r="C10" s="11" t="s">
        <v>62</v>
      </c>
      <c r="D10" s="12"/>
      <c r="E10" s="12"/>
      <c r="F10" s="12"/>
    </row>
    <row r="11" spans="1:6" x14ac:dyDescent="0.25">
      <c r="A11" s="11" t="s">
        <v>101</v>
      </c>
      <c r="B11" s="16">
        <v>0</v>
      </c>
      <c r="C11" s="11" t="s">
        <v>62</v>
      </c>
      <c r="D11" s="12"/>
      <c r="E11" s="12"/>
      <c r="F11" s="12"/>
    </row>
    <row r="12" spans="1:6" x14ac:dyDescent="0.25">
      <c r="A12" s="11" t="s">
        <v>102</v>
      </c>
      <c r="B12" s="16">
        <v>0</v>
      </c>
      <c r="C12" s="11" t="s">
        <v>62</v>
      </c>
      <c r="D12" s="12"/>
      <c r="E12" s="12"/>
      <c r="F12" s="12"/>
    </row>
    <row r="13" spans="1:6" x14ac:dyDescent="0.25">
      <c r="A13" s="11" t="s">
        <v>103</v>
      </c>
      <c r="B13" s="16">
        <v>0</v>
      </c>
      <c r="C13" s="11" t="s">
        <v>62</v>
      </c>
      <c r="D13" s="12"/>
      <c r="E13" s="12"/>
      <c r="F13" s="12"/>
    </row>
    <row r="14" spans="1:6" x14ac:dyDescent="0.25">
      <c r="A14" s="11" t="s">
        <v>104</v>
      </c>
      <c r="B14" s="16">
        <v>145.6</v>
      </c>
      <c r="C14" s="11" t="s">
        <v>105</v>
      </c>
      <c r="D14" s="12"/>
      <c r="E14" s="12"/>
      <c r="F14" s="12"/>
    </row>
    <row r="15" spans="1:6" x14ac:dyDescent="0.25">
      <c r="A15" s="11" t="s">
        <v>106</v>
      </c>
      <c r="B15" s="16">
        <v>0</v>
      </c>
      <c r="C15" s="11" t="s">
        <v>62</v>
      </c>
      <c r="D15" s="12"/>
      <c r="E15" s="12"/>
      <c r="F15" s="12"/>
    </row>
    <row r="16" spans="1:6" x14ac:dyDescent="0.25">
      <c r="A16" s="11" t="s">
        <v>107</v>
      </c>
      <c r="B16" s="16">
        <v>513.6</v>
      </c>
      <c r="C16" s="11" t="s">
        <v>108</v>
      </c>
      <c r="D16" s="12"/>
      <c r="E16" s="12"/>
      <c r="F16" s="12"/>
    </row>
  </sheetData>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30" style="6" customWidth="1"/>
    <col min="2" max="6" width="15" style="7" customWidth="1"/>
  </cols>
  <sheetData>
    <row r="1" spans="1:6" s="8" customFormat="1" x14ac:dyDescent="0.25">
      <c r="A1" s="9" t="s">
        <v>109</v>
      </c>
      <c r="B1" s="10"/>
      <c r="C1" s="10"/>
      <c r="D1" s="10"/>
      <c r="E1" s="10"/>
      <c r="F1" s="10"/>
    </row>
    <row r="2" spans="1:6" x14ac:dyDescent="0.25">
      <c r="A2" s="11" t="s">
        <v>10</v>
      </c>
      <c r="B2" s="12"/>
      <c r="C2" s="12"/>
      <c r="D2" s="12"/>
      <c r="E2" s="12"/>
      <c r="F2" s="12"/>
    </row>
    <row r="4" spans="1:6" x14ac:dyDescent="0.25">
      <c r="A4" s="21" t="s">
        <v>110</v>
      </c>
      <c r="B4" s="37">
        <v>2025</v>
      </c>
      <c r="C4" s="37">
        <v>2024</v>
      </c>
      <c r="D4" s="37">
        <v>2023</v>
      </c>
      <c r="E4" s="37">
        <v>2022</v>
      </c>
      <c r="F4" s="37">
        <v>2021</v>
      </c>
    </row>
    <row r="5" spans="1:6" x14ac:dyDescent="0.25">
      <c r="A5" s="11" t="s">
        <v>64</v>
      </c>
      <c r="B5" s="16">
        <v>9221.5</v>
      </c>
      <c r="C5" s="16">
        <v>8027.5</v>
      </c>
      <c r="D5" s="16">
        <v>6892.7</v>
      </c>
      <c r="E5" s="16">
        <v>5501.5</v>
      </c>
      <c r="F5" s="16">
        <v>4256.1</v>
      </c>
    </row>
    <row r="6" spans="1:6" x14ac:dyDescent="0.25">
      <c r="A6" s="11" t="s">
        <v>111</v>
      </c>
      <c r="B6" s="14">
        <v>0.1487</v>
      </c>
      <c r="C6" s="14">
        <v>0.1646</v>
      </c>
      <c r="D6" s="14">
        <v>0.2529</v>
      </c>
      <c r="E6" s="14">
        <v>0.2926</v>
      </c>
      <c r="F6" s="14">
        <v>0.2487</v>
      </c>
    </row>
    <row r="7" spans="1:6" x14ac:dyDescent="0.25">
      <c r="A7" s="11" t="s">
        <v>112</v>
      </c>
      <c r="B7" s="16">
        <v>2047.465</v>
      </c>
      <c r="C7" s="16">
        <v>3657.525</v>
      </c>
      <c r="D7" s="16">
        <v>1615.205</v>
      </c>
      <c r="E7" s="16">
        <v>881.74</v>
      </c>
      <c r="F7" s="16">
        <v>420.79</v>
      </c>
    </row>
    <row r="8" spans="1:6" x14ac:dyDescent="0.25">
      <c r="A8" s="11" t="s">
        <v>113</v>
      </c>
      <c r="B8" s="14">
        <v>0.2220316651304018</v>
      </c>
      <c r="C8" s="14">
        <v>0.4556244160697602</v>
      </c>
      <c r="D8" s="14">
        <v>0.2343356014334005</v>
      </c>
      <c r="E8" s="14">
        <v>0.160272652912842</v>
      </c>
      <c r="F8" s="14">
        <v>0.09886750781231644</v>
      </c>
    </row>
    <row r="9" spans="1:6" x14ac:dyDescent="0.25">
      <c r="A9" s="11" t="s">
        <v>114</v>
      </c>
      <c r="B9" s="16">
        <v>2417.965</v>
      </c>
      <c r="C9" s="16">
        <v>3090.825</v>
      </c>
      <c r="D9" s="16">
        <v>1342.505</v>
      </c>
      <c r="E9" s="16">
        <v>-10.56</v>
      </c>
      <c r="F9" s="16">
        <v>-757.31</v>
      </c>
    </row>
    <row r="10" spans="1:6" x14ac:dyDescent="0.25">
      <c r="A10" s="11" t="s">
        <v>115</v>
      </c>
      <c r="B10" s="16">
        <v>-370.5</v>
      </c>
      <c r="C10" s="16">
        <v>566.7</v>
      </c>
      <c r="D10" s="16">
        <v>272.7</v>
      </c>
      <c r="E10" s="16">
        <v>892.3</v>
      </c>
      <c r="F10" s="16">
        <v>1178.1</v>
      </c>
    </row>
    <row r="11" spans="1:6" x14ac:dyDescent="0.25">
      <c r="A11" s="11" t="s">
        <v>116</v>
      </c>
      <c r="B11" s="16">
        <v>16318.385</v>
      </c>
      <c r="C11" s="16">
        <v>12750.12</v>
      </c>
      <c r="D11" s="16">
        <v>8248.895</v>
      </c>
      <c r="E11" s="16">
        <v>5534.99</v>
      </c>
      <c r="F11" s="16">
        <v>4939.85</v>
      </c>
    </row>
    <row r="12" spans="1:6" x14ac:dyDescent="0.25">
      <c r="A12" s="11" t="s">
        <v>117</v>
      </c>
      <c r="B12" s="14">
        <v>0.1254698305009963</v>
      </c>
      <c r="C12" s="14">
        <v>0.2868620060046494</v>
      </c>
      <c r="D12" s="14">
        <v>0.1958086507344317</v>
      </c>
      <c r="E12" s="14">
        <v>0.1593029075029946</v>
      </c>
      <c r="F12" s="14">
        <v>0.08518274846402218</v>
      </c>
    </row>
    <row r="13" spans="1:6" x14ac:dyDescent="0.25">
      <c r="A13" s="11" t="s">
        <v>118</v>
      </c>
      <c r="B13" s="16">
        <v>0.5650988133936048</v>
      </c>
      <c r="C13" s="16">
        <v>0.6296019174721493</v>
      </c>
      <c r="D13" s="16">
        <v>0.8355907063915834</v>
      </c>
      <c r="E13" s="16">
        <v>0.9939494018959384</v>
      </c>
      <c r="F13" s="16">
        <v>0.8615848659372248</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owGridLines="0"/>
  </sheetViews>
  <sheetFormatPr defaultRowHeight="15" outlineLevelRow="0" outlineLevelCol="0" x14ac:dyDescent="55"/>
  <cols>
    <col min="1" max="1" width="9" style="6" customWidth="1"/>
    <col min="2" max="2" width="9" style="7" customWidth="1"/>
    <col min="3" max="3" width="9" style="38" customWidth="1"/>
    <col min="4" max="4" width="9" style="7" customWidth="1"/>
    <col min="5" max="5" width="9" style="38" customWidth="1"/>
    <col min="6" max="6" width="9" style="7" customWidth="1"/>
  </cols>
  <sheetData>
    <row r="1" spans="1:6" s="8" customFormat="1" x14ac:dyDescent="0.25">
      <c r="A1" s="9" t="s">
        <v>119</v>
      </c>
      <c r="B1" s="10"/>
      <c r="C1" s="39"/>
      <c r="D1" s="10"/>
      <c r="E1" s="39"/>
      <c r="F1" s="10"/>
    </row>
    <row r="2" spans="1:6" x14ac:dyDescent="0.25">
      <c r="A2" s="11" t="s">
        <v>10</v>
      </c>
      <c r="B2" s="12"/>
      <c r="C2" s="40"/>
      <c r="D2" s="12"/>
      <c r="E2" s="40"/>
      <c r="F2" s="12"/>
    </row>
    <row r="4" spans="1:6" x14ac:dyDescent="0.25">
      <c r="A4" s="18" t="s">
        <v>120</v>
      </c>
      <c r="B4" s="12"/>
      <c r="C4" s="40"/>
      <c r="D4" s="12"/>
      <c r="E4" s="40"/>
      <c r="F4" s="12"/>
    </row>
    <row r="5" spans="1:6" s="32" customFormat="1" x14ac:dyDescent="0.25">
      <c r="A5" s="21" t="s">
        <v>121</v>
      </c>
      <c r="B5" s="22" t="s">
        <v>122</v>
      </c>
      <c r="C5" s="41" t="s">
        <v>111</v>
      </c>
      <c r="D5" s="22" t="s">
        <v>123</v>
      </c>
      <c r="E5" s="41" t="s">
        <v>111</v>
      </c>
      <c r="F5" s="22" t="s">
        <v>124</v>
      </c>
    </row>
    <row r="6" spans="1:6" x14ac:dyDescent="0.25">
      <c r="A6" s="11" t="s">
        <v>125</v>
      </c>
      <c r="B6" s="16">
        <v>6205.1</v>
      </c>
      <c r="C6" s="14">
        <v>0.13171861606084387</v>
      </c>
      <c r="D6" s="16">
        <v>5482.9</v>
      </c>
      <c r="E6" s="14">
        <v>0.16165596728744255</v>
      </c>
      <c r="F6" s="16">
        <v>4719.9</v>
      </c>
    </row>
    <row r="7" spans="1:6" x14ac:dyDescent="0.25">
      <c r="A7" s="11" t="s">
        <v>126</v>
      </c>
      <c r="B7" s="16">
        <v>1099</v>
      </c>
      <c r="C7" s="14">
        <v>0.16592403988966686</v>
      </c>
      <c r="D7" s="16">
        <v>942.6</v>
      </c>
      <c r="E7" s="14">
        <v>0.15912444663059513</v>
      </c>
      <c r="F7" s="16">
        <v>813.2</v>
      </c>
    </row>
    <row r="8" spans="1:6" x14ac:dyDescent="0.25">
      <c r="A8" s="11" t="s">
        <v>127</v>
      </c>
      <c r="B8" s="16">
        <v>1917.4</v>
      </c>
      <c r="C8" s="14">
        <v>0.19687890137328345</v>
      </c>
      <c r="D8" s="16">
        <v>1602</v>
      </c>
      <c r="E8" s="14">
        <v>0.17828773168579</v>
      </c>
      <c r="F8" s="16">
        <v>1359.6</v>
      </c>
    </row>
    <row r="9" spans="1:6" x14ac:dyDescent="0.25">
      <c r="A9" s="11" t="s">
        <v>128</v>
      </c>
      <c r="B9" s="16">
        <v>9221.5</v>
      </c>
      <c r="C9" s="14">
        <v>0.1487387106820305</v>
      </c>
      <c r="D9" s="16">
        <v>8027.5</v>
      </c>
      <c r="E9" s="14">
        <v>0.16463795029523992</v>
      </c>
      <c r="F9" s="16">
        <v>6892.7</v>
      </c>
    </row>
    <row r="11" spans="1:6" x14ac:dyDescent="0.25">
      <c r="A11" s="18" t="s">
        <v>129</v>
      </c>
      <c r="B11" s="12"/>
      <c r="C11" s="40"/>
      <c r="D11" s="12"/>
      <c r="E11" s="40"/>
      <c r="F11" s="12"/>
    </row>
    <row r="12" spans="1:6" s="32" customFormat="1" x14ac:dyDescent="0.25">
      <c r="A12" s="21" t="s">
        <v>121</v>
      </c>
      <c r="B12" s="22" t="s">
        <v>122</v>
      </c>
      <c r="C12" s="41" t="s">
        <v>111</v>
      </c>
      <c r="D12" s="22" t="s">
        <v>123</v>
      </c>
      <c r="E12" s="41" t="s">
        <v>111</v>
      </c>
      <c r="F12" s="22" t="s">
        <v>124</v>
      </c>
    </row>
    <row r="13" spans="1:6" x14ac:dyDescent="0.25">
      <c r="A13" s="11" t="s">
        <v>130</v>
      </c>
      <c r="B13" s="16">
        <v>1801.9</v>
      </c>
      <c r="C13" s="14">
        <v>0.12386951911682165</v>
      </c>
      <c r="D13" s="16">
        <v>1603.3</v>
      </c>
      <c r="E13" s="14">
        <v>0.015775468829194034</v>
      </c>
      <c r="F13" s="16">
        <v>1578.4</v>
      </c>
    </row>
    <row r="14" spans="1:6" x14ac:dyDescent="0.25">
      <c r="A14" s="11" t="s">
        <v>131</v>
      </c>
      <c r="B14" s="16">
        <v>4974.4</v>
      </c>
      <c r="C14" s="14">
        <v>0.18763280410648195</v>
      </c>
      <c r="D14" s="16">
        <v>4188.5</v>
      </c>
      <c r="E14" s="14">
        <v>0.25577142171853445</v>
      </c>
      <c r="F14" s="16">
        <v>3335.4</v>
      </c>
    </row>
    <row r="15" spans="1:6" x14ac:dyDescent="0.25">
      <c r="A15" s="11" t="s">
        <v>132</v>
      </c>
      <c r="B15" s="16">
        <v>2445.2</v>
      </c>
      <c r="C15" s="14">
        <v>0.09370666905219842</v>
      </c>
      <c r="D15" s="16">
        <v>2235.7</v>
      </c>
      <c r="E15" s="14">
        <v>0.12976906362120355</v>
      </c>
      <c r="F15" s="16">
        <v>1978.9</v>
      </c>
    </row>
    <row r="16" spans="1:6" x14ac:dyDescent="0.25">
      <c r="A16" s="11" t="s">
        <v>128</v>
      </c>
      <c r="B16" s="16">
        <v>9221.5</v>
      </c>
      <c r="C16" s="14">
        <v>0.1487387106820305</v>
      </c>
      <c r="D16" s="16">
        <v>8027.5</v>
      </c>
      <c r="E16" s="14">
        <v>0.16463795029523992</v>
      </c>
      <c r="F16" s="16">
        <v>6892.7</v>
      </c>
    </row>
  </sheetData>
  <pageMargins left="0.7" right="0.7" top="0.75" bottom="0.75" header="0.3" footer="0.3"/>
  <pageSetup orientation="portrait" horizontalDpi="4294967295" verticalDpi="4294967295" scale="100" fitToWidth="1" fitToHeigh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28" style="6" customWidth="1"/>
    <col min="2" max="2" width="18" style="7" customWidth="1"/>
    <col min="3" max="3" width="26" style="7" customWidth="1"/>
    <col min="4" max="6" width="18" style="7" customWidth="1"/>
  </cols>
  <sheetData>
    <row r="1" spans="1:6" s="8" customFormat="1" x14ac:dyDescent="0.25">
      <c r="A1" s="9" t="s">
        <v>133</v>
      </c>
      <c r="B1" s="10"/>
      <c r="C1" s="10"/>
      <c r="D1" s="10"/>
      <c r="E1" s="10"/>
      <c r="F1" s="10"/>
    </row>
    <row r="2" spans="1:6" x14ac:dyDescent="0.25">
      <c r="A2" s="11" t="s">
        <v>10</v>
      </c>
      <c r="B2" s="12"/>
      <c r="C2" s="12"/>
      <c r="D2" s="12"/>
      <c r="E2" s="12"/>
      <c r="F2" s="12"/>
    </row>
    <row r="4" spans="1:6" s="32" customFormat="1" x14ac:dyDescent="0.25">
      <c r="A4" s="42" t="s">
        <v>134</v>
      </c>
      <c r="B4" s="36" t="s">
        <v>135</v>
      </c>
      <c r="C4" s="36" t="s">
        <v>136</v>
      </c>
      <c r="D4" s="36"/>
      <c r="E4" s="36"/>
      <c r="F4" s="36"/>
    </row>
    <row r="5" spans="1:6" x14ac:dyDescent="0.25">
      <c r="A5" s="11" t="s">
        <v>137</v>
      </c>
      <c r="B5" s="12" t="s">
        <v>138</v>
      </c>
      <c r="C5" s="12" t="s">
        <v>139</v>
      </c>
      <c r="D5" s="12"/>
      <c r="E5" s="12"/>
      <c r="F5" s="12"/>
    </row>
    <row r="6" spans="1:6" x14ac:dyDescent="0.25">
      <c r="A6" s="11" t="s">
        <v>140</v>
      </c>
      <c r="B6" s="12" t="s">
        <v>141</v>
      </c>
      <c r="C6" s="12" t="s">
        <v>142</v>
      </c>
      <c r="D6" s="12"/>
      <c r="E6" s="12"/>
      <c r="F6" s="12"/>
    </row>
    <row r="7" spans="1:6" x14ac:dyDescent="0.25">
      <c r="A7" s="11" t="s">
        <v>143</v>
      </c>
      <c r="B7" s="12" t="s">
        <v>144</v>
      </c>
      <c r="C7" s="12" t="s">
        <v>145</v>
      </c>
      <c r="D7" s="12"/>
      <c r="E7" s="12"/>
      <c r="F7" s="12"/>
    </row>
    <row r="9" spans="1:6" s="43" customFormat="1" x14ac:dyDescent="0.25">
      <c r="A9" s="44" t="s">
        <v>146</v>
      </c>
      <c r="B9" s="44"/>
      <c r="C9" s="44"/>
      <c r="D9" s="44"/>
      <c r="E9" s="44"/>
      <c r="F9" s="44"/>
    </row>
    <row r="10" spans="1:6" s="32" customFormat="1" x14ac:dyDescent="0.25">
      <c r="A10" s="42" t="s">
        <v>147</v>
      </c>
      <c r="B10" s="36" t="s">
        <v>148</v>
      </c>
      <c r="C10" s="36" t="s">
        <v>149</v>
      </c>
      <c r="D10" s="36" t="s">
        <v>150</v>
      </c>
      <c r="E10" s="36" t="s">
        <v>151</v>
      </c>
      <c r="F10" s="36" t="s">
        <v>152</v>
      </c>
    </row>
    <row r="11" spans="1:6" x14ac:dyDescent="0.25">
      <c r="A11" s="11" t="s">
        <v>137</v>
      </c>
      <c r="B11" s="45">
        <v>23.2230974892396</v>
      </c>
      <c r="C11" s="45">
        <v>38.50803142037303</v>
      </c>
      <c r="D11" s="45">
        <v>63.40475839311334</v>
      </c>
      <c r="E11" s="45">
        <v>107.6348827116212</v>
      </c>
      <c r="F11" s="45">
        <v>271.8993012195122</v>
      </c>
    </row>
    <row r="12" spans="1:6" x14ac:dyDescent="0.25">
      <c r="A12" s="11" t="s">
        <v>140</v>
      </c>
      <c r="B12" s="45">
        <v>40.92080586728838</v>
      </c>
      <c r="C12" s="45">
        <v>56.64780460043041</v>
      </c>
      <c r="D12" s="45">
        <v>88.9448758902439</v>
      </c>
      <c r="E12" s="45">
        <v>199.1713438687231</v>
      </c>
      <c r="F12" s="45">
        <v>548.8137400007173</v>
      </c>
    </row>
    <row r="13" spans="1:6" x14ac:dyDescent="0.25">
      <c r="A13" s="11" t="s">
        <v>143</v>
      </c>
      <c r="B13" s="45">
        <v>38.22294885365854</v>
      </c>
      <c r="C13" s="45">
        <v>52.12752396341464</v>
      </c>
      <c r="D13" s="45">
        <v>74.7765995</v>
      </c>
      <c r="E13" s="45">
        <v>120.8403333414634</v>
      </c>
      <c r="F13" s="45">
        <v>180.3801968902439</v>
      </c>
    </row>
  </sheetData>
  <mergeCells count="1">
    <mergeCell ref="A9:F9"/>
  </mergeCells>
  <pageMargins left="0.7" right="0.7" top="0.75" bottom="0.75" header="0.3" footer="0.3"/>
  <pageSetup orientation="portrait" horizontalDpi="4294967295" verticalDpi="4294967295" scale="100" fitToWidth="1" fitToHeigh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howGridLines="0"/>
  </sheetViews>
  <sheetFormatPr defaultRowHeight="15" outlineLevelRow="0" outlineLevelCol="0" x14ac:dyDescent="55"/>
  <cols>
    <col min="1" max="1" width="30" style="6" customWidth="1"/>
    <col min="2" max="5" width="20" style="7" customWidth="1"/>
  </cols>
  <sheetData>
    <row r="1" spans="1:5" s="8" customFormat="1" x14ac:dyDescent="0.25">
      <c r="A1" s="9" t="s">
        <v>153</v>
      </c>
      <c r="B1" s="10"/>
      <c r="C1" s="10"/>
      <c r="D1" s="10"/>
      <c r="E1" s="10"/>
    </row>
    <row r="2" spans="1:5" x14ac:dyDescent="0.25">
      <c r="A2" s="11" t="s">
        <v>10</v>
      </c>
      <c r="B2" s="12"/>
      <c r="C2" s="12"/>
      <c r="D2" s="12"/>
      <c r="E2" s="12"/>
    </row>
    <row r="4" spans="1:5" s="17" customFormat="1" x14ac:dyDescent="0.25">
      <c r="A4" s="18" t="s">
        <v>154</v>
      </c>
      <c r="B4" s="31"/>
      <c r="C4" s="31"/>
      <c r="D4" s="31"/>
      <c r="E4" s="31"/>
    </row>
    <row r="5" spans="1:5" x14ac:dyDescent="0.25">
      <c r="A5" s="11" t="s">
        <v>155</v>
      </c>
      <c r="B5" s="19">
        <v>0.04222000000000001</v>
      </c>
      <c r="C5" s="12"/>
      <c r="D5" s="12"/>
      <c r="E5" s="12"/>
    </row>
    <row r="6" spans="1:5" x14ac:dyDescent="0.25">
      <c r="A6" s="11" t="s">
        <v>156</v>
      </c>
      <c r="B6" s="12" t="s">
        <v>157</v>
      </c>
      <c r="C6" s="12"/>
      <c r="D6" s="12"/>
      <c r="E6" s="12"/>
    </row>
    <row r="7" spans="1:5" x14ac:dyDescent="0.25">
      <c r="A7" s="11" t="s">
        <v>158</v>
      </c>
      <c r="B7" s="19">
        <v>0.003</v>
      </c>
      <c r="C7" s="12"/>
      <c r="D7" s="12"/>
      <c r="E7" s="12"/>
    </row>
    <row r="8" spans="1:5" x14ac:dyDescent="0.25">
      <c r="A8" s="11" t="s">
        <v>159</v>
      </c>
      <c r="B8" s="25">
        <f>=INDEX(B:B,MATCH("Ten-year bond yield",A:A,0))-INDEX(B:B,MATCH("Default spread",A:A,0))</f>
      </c>
      <c r="C8" s="12"/>
      <c r="D8" s="12"/>
      <c r="E8" s="12"/>
    </row>
    <row r="10" spans="1:5" s="17" customFormat="1" x14ac:dyDescent="0.25">
      <c r="A10" s="18" t="s">
        <v>160</v>
      </c>
      <c r="B10" s="31"/>
      <c r="C10" s="31"/>
      <c r="D10" s="31"/>
      <c r="E10" s="31"/>
    </row>
    <row r="11" spans="1:5" s="32" customFormat="1" x14ac:dyDescent="0.25">
      <c r="A11" s="21" t="s">
        <v>121</v>
      </c>
      <c r="B11" s="22" t="s">
        <v>161</v>
      </c>
      <c r="C11" s="22" t="s">
        <v>162</v>
      </c>
      <c r="D11" s="22" t="s">
        <v>163</v>
      </c>
      <c r="E11" s="22" t="s">
        <v>164</v>
      </c>
    </row>
    <row r="12" spans="1:5" x14ac:dyDescent="0.25">
      <c r="A12" s="11" t="s">
        <v>132</v>
      </c>
      <c r="B12" s="20">
        <v>2445.2</v>
      </c>
      <c r="C12" s="20">
        <v>2.48</v>
      </c>
      <c r="D12" s="25">
        <f>(B12*C12)/SUMPRODUCT(B12:B14,C12:C14)</f>
      </c>
      <c r="E12" s="20">
        <v>1.02</v>
      </c>
    </row>
    <row r="13" spans="1:5" x14ac:dyDescent="0.25">
      <c r="A13" s="11" t="s">
        <v>131</v>
      </c>
      <c r="B13" s="20">
        <v>4974.4</v>
      </c>
      <c r="C13" s="20">
        <v>5.25</v>
      </c>
      <c r="D13" s="25">
        <f>(B13*C13)/SUMPRODUCT(B12:B14,C12:C14)</f>
      </c>
      <c r="E13" s="20">
        <v>1.83</v>
      </c>
    </row>
    <row r="14" spans="1:5" x14ac:dyDescent="0.25">
      <c r="A14" s="11" t="s">
        <v>130</v>
      </c>
      <c r="B14" s="20">
        <v>1801.9</v>
      </c>
      <c r="C14" s="20">
        <v>5.25</v>
      </c>
      <c r="D14" s="25">
        <f>(B14*C14)/SUMPRODUCT(B12:B14,C12:C14)</f>
      </c>
      <c r="E14" s="20">
        <v>2.13</v>
      </c>
    </row>
    <row r="16" spans="1:5" x14ac:dyDescent="0.25">
      <c r="A16" s="11" t="s">
        <v>164</v>
      </c>
      <c r="B16" s="46">
        <f>=SUMPRODUCT(INDEX(D:D,MATCH("Segment",A:A,0)+1):INDEX(D:D,MATCH(TRUE,INDEX((INDEX(A:A,MATCH("Segment",A:A,0)+1):A1048576)="",0),0)+MATCH("Segment",A:A,0)+1-1),INDEX(E:E,MATCH("Segment",A:A,0)+1):INDEX(E:E,MATCH(TRUE,INDEX((INDEX(A:A,MATCH("Segment",A:A,0)+1):A1048576)="",0),0)+MATCH("Segment",A:A,0)+1-1))</f>
      </c>
      <c r="C16" s="12"/>
      <c r="D16" s="12"/>
      <c r="E16" s="12"/>
    </row>
    <row r="17" spans="1:5" x14ac:dyDescent="0.25">
      <c r="A17" s="11" t="s">
        <v>165</v>
      </c>
      <c r="B17" s="19">
        <v>0.002906393420997791</v>
      </c>
      <c r="C17" s="12"/>
      <c r="D17" s="12"/>
      <c r="E17" s="12"/>
    </row>
    <row r="18" spans="1:5" x14ac:dyDescent="0.25">
      <c r="A18" s="11" t="s">
        <v>166</v>
      </c>
      <c r="B18" s="19">
        <v>0.02487696263185789</v>
      </c>
      <c r="C18" s="12"/>
      <c r="D18" s="12"/>
      <c r="E18" s="12"/>
    </row>
    <row r="19" spans="1:5" x14ac:dyDescent="0.25">
      <c r="A19" s="11" t="s">
        <v>167</v>
      </c>
      <c r="B19" s="19">
        <v>0.2351225689963672</v>
      </c>
      <c r="C19" s="12"/>
      <c r="D19" s="12"/>
      <c r="E19" s="12"/>
    </row>
    <row r="20" spans="1:5" x14ac:dyDescent="0.25">
      <c r="A20" s="11" t="s">
        <v>168</v>
      </c>
      <c r="B20" s="46">
        <f>=INDEX(B:B,MATCH("Business beta",A:A,0))*(1+(1-INDEX(B:B,MATCH("Marginal tax rate",A:A,0)))*INDEX(B:B,MATCH("Debt-to-equity ratio",A:A,0)))*(1-INDEX(B:B,MATCH("Cash-to-firm ratio",A:A,0)))</f>
      </c>
      <c r="C20" s="12"/>
      <c r="D20" s="12"/>
      <c r="E20" s="12"/>
    </row>
    <row r="22" spans="1:5" s="17" customFormat="1" x14ac:dyDescent="0.25">
      <c r="A22" s="18" t="s">
        <v>169</v>
      </c>
      <c r="B22" s="31"/>
      <c r="C22" s="31"/>
      <c r="D22" s="31"/>
      <c r="E22" s="31"/>
    </row>
    <row r="23" spans="1:5" x14ac:dyDescent="0.25">
      <c r="A23" s="11" t="s">
        <v>170</v>
      </c>
      <c r="B23" s="12" t="s">
        <v>171</v>
      </c>
      <c r="C23" s="12"/>
      <c r="D23" s="12"/>
      <c r="E23" s="12"/>
    </row>
    <row r="24" spans="1:5" x14ac:dyDescent="0.25">
      <c r="A24" s="11" t="s">
        <v>172</v>
      </c>
      <c r="B24" s="12" t="s">
        <v>173</v>
      </c>
      <c r="C24" s="12"/>
      <c r="D24" s="12"/>
      <c r="E24" s="12"/>
    </row>
    <row r="25" spans="1:5" x14ac:dyDescent="0.25">
      <c r="A25" s="11" t="s">
        <v>174</v>
      </c>
      <c r="B25" s="12" t="s">
        <v>175</v>
      </c>
      <c r="C25" s="12"/>
      <c r="D25" s="12"/>
      <c r="E25" s="12"/>
    </row>
    <row r="27" spans="1:5" s="17" customFormat="1" x14ac:dyDescent="0.25">
      <c r="A27" s="18" t="s">
        <v>176</v>
      </c>
      <c r="B27" s="31"/>
      <c r="C27" s="31"/>
      <c r="D27" s="31"/>
      <c r="E27" s="31"/>
    </row>
    <row r="28" spans="1:5" s="32" customFormat="1" x14ac:dyDescent="0.25">
      <c r="A28" s="21" t="s">
        <v>177</v>
      </c>
      <c r="B28" s="22" t="s">
        <v>161</v>
      </c>
      <c r="C28" s="22" t="s">
        <v>163</v>
      </c>
      <c r="D28" s="22" t="s">
        <v>178</v>
      </c>
      <c r="E28" s="22" t="s">
        <v>179</v>
      </c>
    </row>
    <row r="29" spans="1:5" x14ac:dyDescent="0.25">
      <c r="A29" s="11" t="s">
        <v>125</v>
      </c>
      <c r="B29" s="20">
        <v>6205.1</v>
      </c>
      <c r="C29" s="25">
        <f>B29/SUM(B29:B31)</f>
      </c>
      <c r="D29" s="19">
        <v>0.0545</v>
      </c>
      <c r="E29" s="19">
        <v>0.2313</v>
      </c>
    </row>
    <row r="30" spans="1:5" x14ac:dyDescent="0.25">
      <c r="A30" s="11" t="s">
        <v>180</v>
      </c>
      <c r="B30" s="20">
        <v>1917.4</v>
      </c>
      <c r="C30" s="25">
        <f>B30/SUM(B29:B31)</f>
      </c>
      <c r="D30" s="19">
        <v>0.07429999999999999</v>
      </c>
      <c r="E30" s="19">
        <v>0.2361</v>
      </c>
    </row>
    <row r="31" spans="1:5" x14ac:dyDescent="0.25">
      <c r="A31" s="11" t="s">
        <v>181</v>
      </c>
      <c r="B31" s="20">
        <v>1099</v>
      </c>
      <c r="C31" s="25">
        <f>B31/SUM(B29:B31)</f>
      </c>
      <c r="D31" s="19">
        <v>0.0636</v>
      </c>
      <c r="E31" s="19">
        <v>0.255</v>
      </c>
    </row>
    <row r="33" spans="1:5" x14ac:dyDescent="0.25">
      <c r="A33" s="11" t="s">
        <v>182</v>
      </c>
      <c r="B33" s="25">
        <f>=SUMPRODUCT(INDEX(C:C,MATCH("Country",A:A,0)+1):INDEX(C:C,MATCH(TRUE,INDEX((INDEX(A:A,MATCH("Country",A:A,0)+1):A1048576)="",0),0)+MATCH("Country",A:A,0)+1-1),INDEX(D:D,MATCH("Country",A:A,0)+1):INDEX(D:D,MATCH(TRUE,INDEX((INDEX(A:A,MATCH("Country",A:A,0)+1):A1048576)="",0),0)+MATCH("Country",A:A,0)+1-1))</f>
      </c>
      <c r="C33" s="12"/>
      <c r="D33" s="12"/>
      <c r="E33" s="12"/>
    </row>
    <row r="35" spans="1:5" s="17" customFormat="1" x14ac:dyDescent="0.25">
      <c r="A35" s="18" t="s">
        <v>183</v>
      </c>
      <c r="B35" s="31"/>
      <c r="C35" s="31"/>
      <c r="D35" s="31"/>
      <c r="E35" s="31"/>
    </row>
    <row r="36" spans="1:5" x14ac:dyDescent="0.25">
      <c r="A36" s="11" t="s">
        <v>159</v>
      </c>
      <c r="B36" s="25">
        <f>=INDEX(B:B,MATCH("Risk-free rate",A:A,0))</f>
      </c>
      <c r="C36" s="12"/>
      <c r="D36" s="12"/>
      <c r="E36" s="12"/>
    </row>
    <row r="37" spans="1:5" x14ac:dyDescent="0.25">
      <c r="A37" s="11" t="s">
        <v>184</v>
      </c>
      <c r="B37" s="25">
        <f>=INDEX(B:B,MATCH("Equity beta",A:A,0))*INDEX(B:B,MATCH("Equity risk premium",A:A,0))</f>
      </c>
      <c r="C37" s="12"/>
      <c r="D37" s="12"/>
      <c r="E37" s="12"/>
    </row>
    <row r="38" spans="1:5" x14ac:dyDescent="0.25">
      <c r="A38" s="11" t="s">
        <v>168</v>
      </c>
      <c r="B38" s="46">
        <f>=INDEX(B:B,MATCH("Equity beta",A:A,0))</f>
      </c>
      <c r="C38" s="12"/>
      <c r="D38" s="12"/>
      <c r="E38" s="12"/>
    </row>
    <row r="39" spans="1:5" x14ac:dyDescent="0.25">
      <c r="A39" s="11" t="s">
        <v>185</v>
      </c>
      <c r="B39" s="25">
        <f>=INDEX(B:B,MATCH("Company equity risk premium",A:A,0))</f>
      </c>
      <c r="C39" s="12"/>
      <c r="D39" s="12"/>
      <c r="E39" s="12"/>
    </row>
    <row r="40" spans="1:5" x14ac:dyDescent="0.25">
      <c r="A40" s="11" t="s">
        <v>153</v>
      </c>
      <c r="B40" s="25">
        <f>=INDEX(B:B,MATCH("Risk-free rate",A:A,0))+INDEX(B:B,MATCH("Equity beta",A:A,0))*INDEX(B:B,MATCH("Equity risk premium",A:A,0))</f>
      </c>
      <c r="C40" s="12"/>
      <c r="D40" s="12"/>
      <c r="E40" s="12"/>
    </row>
    <row r="42" spans="1:5" s="17" customFormat="1" x14ac:dyDescent="0.25">
      <c r="A42" s="18" t="s">
        <v>186</v>
      </c>
      <c r="B42" s="31"/>
      <c r="C42" s="31"/>
      <c r="D42" s="31"/>
      <c r="E42" s="31"/>
    </row>
    <row r="43" spans="1:5" x14ac:dyDescent="0.25">
      <c r="A43" s="11" t="s">
        <v>159</v>
      </c>
      <c r="B43" s="25">
        <f>=INDEX(B:B,MATCH("Risk-free rate",A:A,0))</f>
      </c>
      <c r="C43" s="12"/>
      <c r="D43" s="12"/>
      <c r="E43" s="12"/>
    </row>
    <row r="44" spans="1:5" x14ac:dyDescent="0.25">
      <c r="A44" s="11" t="s">
        <v>187</v>
      </c>
      <c r="B44" s="25">
        <f>=INDEX(B:B,MATCH("Stable beta (clamped)",A:A,0))*INDEX(B:B,MATCH("Equity risk premium",A:A,0))</f>
      </c>
      <c r="C44" s="12"/>
      <c r="D44" s="12"/>
      <c r="E44" s="12"/>
    </row>
    <row r="45" spans="1:5" x14ac:dyDescent="0.25">
      <c r="A45" s="11" t="s">
        <v>188</v>
      </c>
      <c r="B45" s="46">
        <f>=MIN(MAX(INDEX(B:B,MATCH("Equity beta",A:A,0)),0.8),1.2)</f>
      </c>
      <c r="C45" s="12"/>
      <c r="D45" s="12"/>
      <c r="E45" s="12"/>
    </row>
    <row r="46" spans="1:5" x14ac:dyDescent="0.25">
      <c r="A46" s="11" t="s">
        <v>185</v>
      </c>
      <c r="B46" s="25">
        <f>=INDEX(B:B,MATCH("Company equity risk premium",A:A,0))</f>
      </c>
      <c r="C46" s="12"/>
      <c r="D46" s="12"/>
      <c r="E46" s="12"/>
    </row>
    <row r="47" spans="1:5" x14ac:dyDescent="0.25">
      <c r="A47" s="11" t="s">
        <v>189</v>
      </c>
      <c r="B47" s="25">
        <f>=INDEX(B:B,MATCH("Risk-free rate",A:A,0))+INDEX(B:B,MATCH("Stable beta (clamped)",A:A,0))*INDEX(B:B,MATCH("Equity risk premium",A:A,0))</f>
      </c>
      <c r="C47" s="12"/>
      <c r="D47" s="12"/>
      <c r="E47" s="12"/>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Summary</vt:lpstr>
      <vt:lpstr>Assumptions</vt:lpstr>
      <vt:lpstr>DCF model</vt:lpstr>
      <vt:lpstr>Other claims</vt:lpstr>
      <vt:lpstr>Financials</vt:lpstr>
      <vt:lpstr>Segments</vt:lpstr>
      <vt:lpstr>Multiples</vt:lpstr>
      <vt:lpstr>Cost of equity</vt:lpstr>
      <vt:lpstr>Scenarios</vt:lpstr>
      <vt:lpstr>Sensitivity</vt:lpstr>
      <vt:lpstr>Reverse DCF</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2026-02-16T10:44:16Z</dcterms:created>
  <dcterms:modified xsi:type="dcterms:W3CDTF">2026-02-16T10:44:16Z</dcterms:modified>
</cp:coreProperties>
</file>