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ver" state="visible" r:id="rId4"/>
    <sheet sheetId="2" name="Summary" state="visible" r:id="rId5"/>
    <sheet sheetId="3" name="Assumptions" state="visible" r:id="rId6"/>
    <sheet sheetId="4" name="DCF model" state="visible" r:id="rId7"/>
    <sheet sheetId="5" name="Other claims" state="visible" r:id="rId8"/>
    <sheet sheetId="6" name="Financials" state="visible" r:id="rId9"/>
    <sheet sheetId="7" name="Segments" state="visible" r:id="rId10"/>
    <sheet sheetId="8" name="Multiples" state="visible" r:id="rId11"/>
    <sheet sheetId="9" name="Cost of equity" state="visible" r:id="rId12"/>
    <sheet sheetId="10" name="Scenarios" state="visible" r:id="rId13"/>
    <sheet sheetId="11" name="Sensitivity" state="visible" r:id="rId14"/>
    <sheet sheetId="12" name="Reverse DCF" state="visible" r:id="rId15"/>
  </sheets>
  <calcPr calcId="171027"/>
</workbook>
</file>

<file path=xl/sharedStrings.xml><?xml version="1.0" encoding="utf-8"?>
<sst xmlns="http://schemas.openxmlformats.org/spreadsheetml/2006/main" count="338" uniqueCount="253">
  <si>
    <t>ValuationBot.ai</t>
  </si>
  <si>
    <t>Shopify Inc. (SHOP)</t>
  </si>
  <si>
    <t>Analysis ID: cae7b900-0142-43f0-b4b8-a70e4a15ac28</t>
  </si>
  <si>
    <t>Created: Feb 09, 2026 01:40am</t>
  </si>
  <si>
    <t>User: Edmund Simms</t>
  </si>
  <si>
    <t>Email: edmund.simms@gmail.com</t>
  </si>
  <si>
    <t>View this analysis online</t>
  </si>
  <si>
    <t>© 2025–2026 Lyceum Analytics Ltd. ValuationBot is a trading name of Lyceum Analytics Ltd.</t>
  </si>
  <si>
    <t>Not financial advice. Use at your own risk.</t>
  </si>
  <si>
    <t>Summary</t>
  </si>
  <si>
    <t>(all financial data in US$ millions unless stated otherwise)</t>
  </si>
  <si>
    <t>Company</t>
  </si>
  <si>
    <t>Shopify Inc.</t>
  </si>
  <si>
    <t>Ticker</t>
  </si>
  <si>
    <t>SHOP</t>
  </si>
  <si>
    <t>Created</t>
  </si>
  <si>
    <t>Feb 09, 2026 01:40am</t>
  </si>
  <si>
    <t>Current price</t>
  </si>
  <si>
    <t>Estimated value</t>
  </si>
  <si>
    <t>Upside</t>
  </si>
  <si>
    <t>Expected IRR</t>
  </si>
  <si>
    <t>Currency</t>
  </si>
  <si>
    <t>USD</t>
  </si>
  <si>
    <t>Valuation date</t>
  </si>
  <si>
    <t>Latest financials date</t>
  </si>
  <si>
    <t>Latest filing</t>
  </si>
  <si>
    <t>10-Q Nov 04, 2025</t>
  </si>
  <si>
    <t>Industry</t>
  </si>
  <si>
    <t>Software - Application</t>
  </si>
  <si>
    <t>Sector</t>
  </si>
  <si>
    <t>Technology</t>
  </si>
  <si>
    <t>Recommendation</t>
  </si>
  <si>
    <t>Strong Sell</t>
  </si>
  <si>
    <t>Exchange</t>
  </si>
  <si>
    <t>NASDAQ</t>
  </si>
  <si>
    <t>Market cap</t>
  </si>
  <si>
    <t>Share count</t>
  </si>
  <si>
    <t>Assumptions</t>
  </si>
  <si>
    <t>Valuation story</t>
  </si>
  <si>
    <t>Shopify operates a scaled commerce platform with a broad ecosystem that helps merchants sell across channels and adopt payments, shipping, and financing services. I place it in a scaling growth stage, where growth stays strong but slows as the merchant base matures and competition in commerce tools and payments remains intense. The base case assumes Shopify sustains share through product depth, partner distribution, and international expansion, while it keeps investing in AI, analytics, and enterprise features to lift merchant outcomes. Profitability improves with scale, but stock-based pay, service mix, and ongoing reinvestment keep margins below peak levels and push returns towards strong but more normal levels over time.</t>
  </si>
  <si>
    <t>Revenue growth rate</t>
  </si>
  <si>
    <t>Shopify sits in a scaling growth stage, with a large installed base and more room to expand through enterprise, international markets, and more merchant services. The analyst revenue path implies a mid to high teens multi-year run rate from the current revenue base to the medium-term estimates, so I set a 20% growth rate as a plausible first-half (Y/2) CAGR before tapering as penetration rises and competition bites.</t>
  </si>
  <si>
    <t>Stable growth rate</t>
  </si>
  <si>
    <t>In maturity, Shopify should grow near the wider economy once e-commerce and payments penetration normalises and the business saturates its core markets. I set terminal growth slightly below the 3.922% risk-free rate to reflect a mature, large-cap platform that still benefits from digital share gains but cannot outgrow GDP for ever.</t>
  </si>
  <si>
    <t>Years to stability</t>
  </si>
  <si>
    <t>Shopify still has meaningful runway from product expansion, partner-led distribution, and international scaling, but it is no longer an early-stage hyper-growth firm. A 10-year fade period makes the 20% rate plausible as a 5-year CAGR that lines up with the medium-term consensus revenue trajectory, then allows a gradual step-down to a stable rate as growth becomes harder to sustain.</t>
  </si>
  <si>
    <t>Sales-to-equity ratio</t>
  </si>
  <si>
    <t>Shopify remains capital-light in physical terms, but it reinvests heavily in intangibles like product, marketing, and ecosystem development, which reduces apparent capital efficiency in the adjusted numbers. I move the ratio up from the recent ~0.5 range towards the industry median-to-upper range as scale improves and reinvestment becomes more targeted, but I avoid a very high ratio given ongoing investment in AI, international build-out, and merchant financial services.</t>
  </si>
  <si>
    <t>Stable net profit margin</t>
  </si>
  <si>
    <t>A mature Shopify should keep a strong margin due to software scale, ecosystem stickiness, and monetisation from payments and services, but mix in merchant solutions and ongoing stock-based pay should cap the ceiling. I set the stable margin near the industry 60th percentile and below Shopify’s unusually high adjusted recent peak, which likely includes one-off or cycle-driven benefits that do not persist.</t>
  </si>
  <si>
    <t>FY+1 net profit margin</t>
  </si>
  <si>
    <t>The consensus net income margin rises sharply over the next few years, but it uses expensed treatment of R&amp;D and go-to-market costs, while the adjusted model capitalises them and can show higher margins in good years. I set FY+1 margin below the latest adjusted level to reflect continued investment and competitive spend, while still showing operating leverage consistent with the consensus direction of travel.</t>
  </si>
  <si>
    <t>Margin convergence</t>
  </si>
  <si>
    <t>Shopify should not snap straight to its mature margin because it plans continued spend on AI, analytics, enterprise selling, and international expansion. I therefore phase the margin down and then stabilise it over several years, staying consistent with the medium-term consensus trend of improving profitability while allowing for mix and reinvestment volatility.</t>
  </si>
  <si>
    <t>Stable ROE</t>
  </si>
  <si>
    <t>Shopify’s stable ROE should stay above its stable cost of equity if the platform moat holds, but it should drift towards a more normal level as growth slows and competition increases. I set stable ROE around the industry median-to-60th percentile and above the 10.28% stable cost of equity, which fits a mature but still differentiated software platform.</t>
  </si>
  <si>
    <t>Credit rating</t>
  </si>
  <si>
    <t>A3/A-</t>
  </si>
  <si>
    <t>Shopify operates a largely subscription and payments-led model with strong scale economics and limited reliance on heavy fixed assets, which supports resilient cash generation through the cycle. The disclosed convertibles and business risk from merchant exposure argue against a top-tier rating, but the size, liquidity profile, and earnings power support an upper investment-grade outcome in the base case.</t>
  </si>
  <si>
    <t>Recovery ratio</t>
  </si>
  <si>
    <t>In default, Shopify would rely mainly on recoverable cash, securities, and the value of software-related intangibles, which are harder to realise than hard assets. I use a mid-range recovery to reflect some balance sheet support and going-concern value, but I avoid a high recovery because platform value can erode quickly under distress.</t>
  </si>
  <si>
    <t>DCF model</t>
  </si>
  <si>
    <t/>
  </si>
  <si>
    <t>Base year</t>
  </si>
  <si>
    <t>Revenue</t>
  </si>
  <si>
    <t>Growth, year-on-year, %</t>
  </si>
  <si>
    <t>Less: All expenses</t>
  </si>
  <si>
    <t>Net profit to common equity</t>
  </si>
  <si>
    <t>Net profit margin, %</t>
  </si>
  <si>
    <t>Less: Net reinvestment</t>
  </si>
  <si>
    <t>Invested common equity</t>
  </si>
  <si>
    <t>Return on common equity, %</t>
  </si>
  <si>
    <t>Sales to equity ratio, x</t>
  </si>
  <si>
    <t>Free cash flow to equity</t>
  </si>
  <si>
    <t>Plus: Stable value</t>
  </si>
  <si>
    <t>Free cash flows to be discounted</t>
  </si>
  <si>
    <t>Multiply: Discount factor</t>
  </si>
  <si>
    <t>Cost of equity, %</t>
  </si>
  <si>
    <t>Present value of free cash flows to equity</t>
  </si>
  <si>
    <t>Sum of PV of FCFE</t>
  </si>
  <si>
    <t>Less: Distress adjustments</t>
  </si>
  <si>
    <t>Distress likelihood, %</t>
  </si>
  <si>
    <t>Recovery ratio, %</t>
  </si>
  <si>
    <t>Adjusted equity value</t>
  </si>
  <si>
    <t>Less: Employee options</t>
  </si>
  <si>
    <t>Less: Unfunded liabilities</t>
  </si>
  <si>
    <t>Value of common shareholders' equity</t>
  </si>
  <si>
    <t>Divide: Share count</t>
  </si>
  <si>
    <t>Equity value per share</t>
  </si>
  <si>
    <t>Other claims</t>
  </si>
  <si>
    <t>Employee stock options</t>
  </si>
  <si>
    <t>Number</t>
  </si>
  <si>
    <t>Strike price</t>
  </si>
  <si>
    <t>Maturity</t>
  </si>
  <si>
    <t>Assumed volatility</t>
  </si>
  <si>
    <t>Assumed dividend yield</t>
  </si>
  <si>
    <t>Value</t>
  </si>
  <si>
    <t>Unfunded liabilities</t>
  </si>
  <si>
    <t>Item</t>
  </si>
  <si>
    <t>Explanation</t>
  </si>
  <si>
    <t>Pension Obligations</t>
  </si>
  <si>
    <t>Post Retirement Benefits</t>
  </si>
  <si>
    <t>Healthcare Liabilities</t>
  </si>
  <si>
    <t>Deferred Compensation</t>
  </si>
  <si>
    <t>Lawsuit Contingencies</t>
  </si>
  <si>
    <t>Environmental Liabilities</t>
  </si>
  <si>
    <t>Other</t>
  </si>
  <si>
    <t>Financials</t>
  </si>
  <si>
    <t>Fiscal Year</t>
  </si>
  <si>
    <t>YoY Growth</t>
  </si>
  <si>
    <t>Adjusted Net Profit</t>
  </si>
  <si>
    <t>Margin</t>
  </si>
  <si>
    <t>Reinvestment</t>
  </si>
  <si>
    <t>FCFE</t>
  </si>
  <si>
    <t>Adjusted Equity</t>
  </si>
  <si>
    <t>Return on Equity (ROE)</t>
  </si>
  <si>
    <t>Sales to Equity Ratio</t>
  </si>
  <si>
    <t>Segments</t>
  </si>
  <si>
    <t>Geographic segments</t>
  </si>
  <si>
    <t>Segment</t>
  </si>
  <si>
    <t>FY2024</t>
  </si>
  <si>
    <t>FY2023</t>
  </si>
  <si>
    <t>FY2022</t>
  </si>
  <si>
    <t>APAC</t>
  </si>
  <si>
    <t>Canada</t>
  </si>
  <si>
    <t>EMEA</t>
  </si>
  <si>
    <t>Latin America</t>
  </si>
  <si>
    <t>United States</t>
  </si>
  <si>
    <t>Total</t>
  </si>
  <si>
    <t>Operating segments</t>
  </si>
  <si>
    <t>Merchant Solutions</t>
  </si>
  <si>
    <t>Service</t>
  </si>
  <si>
    <t>Subscription Solutions</t>
  </si>
  <si>
    <t>Subscription and Circulation</t>
  </si>
  <si>
    <t>Multiples</t>
  </si>
  <si>
    <t>Metric</t>
  </si>
  <si>
    <t>Company multiple</t>
  </si>
  <si>
    <t>Percentile of industry multiples</t>
  </si>
  <si>
    <t>Price-to-sales</t>
  </si>
  <si>
    <t>16.5x</t>
  </si>
  <si>
    <t>83th</t>
  </si>
  <si>
    <t>Price-to-earnings</t>
  </si>
  <si>
    <t>59.3x</t>
  </si>
  <si>
    <t>71th</t>
  </si>
  <si>
    <t>Price-to-book</t>
  </si>
  <si>
    <t>8.5x</t>
  </si>
  <si>
    <t>≥90th</t>
  </si>
  <si>
    <t>Values show the company's implied share price if it traded at the peer multiple for the listed percentile.</t>
  </si>
  <si>
    <t>Implied prices</t>
  </si>
  <si>
    <t>P10</t>
  </si>
  <si>
    <t>P25</t>
  </si>
  <si>
    <t>P50</t>
  </si>
  <si>
    <t>P75</t>
  </si>
  <si>
    <t>P90</t>
  </si>
  <si>
    <t>Cost of equity</t>
  </si>
  <si>
    <t>Risk-free rate calculation</t>
  </si>
  <si>
    <t>Ten-year bond yield</t>
  </si>
  <si>
    <t>Bond yield country</t>
  </si>
  <si>
    <t>United States of America</t>
  </si>
  <si>
    <t>Default spread</t>
  </si>
  <si>
    <t>Risk-free rate</t>
  </si>
  <si>
    <t>Beta calculation</t>
  </si>
  <si>
    <t>Sales</t>
  </si>
  <si>
    <t>EV/Sales</t>
  </si>
  <si>
    <t>Weight</t>
  </si>
  <si>
    <t>Business beta</t>
  </si>
  <si>
    <t>Debt-to-equity ratio</t>
  </si>
  <si>
    <t>Cash-to-firm ratio</t>
  </si>
  <si>
    <t>Marginal tax rate</t>
  </si>
  <si>
    <t>Equity beta</t>
  </si>
  <si>
    <t>Beta selection notes</t>
  </si>
  <si>
    <t>Software - Application (50th percentile of the industry)</t>
  </si>
  <si>
    <t>Subscription revenue is relatively recurring because merchants pay monthly for access to the platform, which dampens demand swings versus transaction-based services. However, it still faces competitive pressure and some churn in weaker economic periods, so a middle-of-the-pack risk level is most appropriate.</t>
  </si>
  <si>
    <t>Software - Application (60th percentile of the industry)</t>
  </si>
  <si>
    <t>Merchant services revenue (payments, shipping, fulfilment and financing) is closely tied to merchants’ sales volumes, so demand is more cyclical than a pure subscription product. While some costs scale with transactions, the segment still carries meaningful platform and compliance fixed costs, so earnings can swing when volumes change.</t>
  </si>
  <si>
    <t>Equity risk premium (ERP) calculation</t>
  </si>
  <si>
    <t>Country</t>
  </si>
  <si>
    <t>ERP</t>
  </si>
  <si>
    <t>Tax rate</t>
  </si>
  <si>
    <t>Latin America (LATAM)</t>
  </si>
  <si>
    <t>Asia-Pacific</t>
  </si>
  <si>
    <t>Europe, Middle East, and Africa (EMEA)</t>
  </si>
  <si>
    <t>Company equity risk premium</t>
  </si>
  <si>
    <t>Cost of equity calculation</t>
  </si>
  <si>
    <t>Plus: Equity beta × Equity risk premium</t>
  </si>
  <si>
    <t>Equity risk premium</t>
  </si>
  <si>
    <t>Stable cost of equity calculation</t>
  </si>
  <si>
    <t>Plus: Stable beta (clamped) × Equity risk premium</t>
  </si>
  <si>
    <t>Stable beta (clamped)</t>
  </si>
  <si>
    <t>Stable cost of equity</t>
  </si>
  <si>
    <t>Scenarios</t>
  </si>
  <si>
    <t>Case</t>
  </si>
  <si>
    <t>Per Share</t>
  </si>
  <si>
    <t>Upside %</t>
  </si>
  <si>
    <t>base</t>
  </si>
  <si>
    <t>bear</t>
  </si>
  <si>
    <t>bull</t>
  </si>
  <si>
    <t>Bull-case scenario</t>
  </si>
  <si>
    <t>Value per share</t>
  </si>
  <si>
    <t>Shopify stays in a scaling growth stage and converts its ecosystem breadth into a wider lead in multi-channel commerce. It wins more larger merchants and expands faster outside its core regions, while merchant services such as payments, shipping, and financing attach at higher rates and lift revenue per merchant. AI-led tools improve merchant outcomes and reduce support and operating costs, so Shopify captures operating leverage without starving product investment. This bull case looks plausible because Shopify already shows strong revenue momentum and improving profitability in the consensus trajectory, and the upside comes from execution and mix rather than an unrealistic market re-write.</t>
  </si>
  <si>
    <t>Value driver</t>
  </si>
  <si>
    <t>I assume Shopify converts more of its product and go-to-market spend into sustained share gains in payments-led merchant solutions and in larger merchants. This sits above the base case and stays plausible because the analyst revenue path already implies a strong mid-to-high teens multi-year run rate, and the bull case adds upside from faster international and enterprise adoption. A 24% rate works as a credible Y/2-year CAGR given Shopify’s recent growth history and its still-large runway.</t>
  </si>
  <si>
    <t>I keep terminal growth close to the risk-free rate because even a winning platform cannot outgrow the economy forever. In the bull case, I move it slightly higher than base to reflect a structurally higher digital commerce and services mix, but I still cap it below the 3.922% risk-free rate as required.</t>
  </si>
  <si>
    <t>I extend the high-growth period because the bull case assumes Shopify sustains momentum for longer through international expansion, enterprise penetration, and higher attach of merchant services. With Y at 12, the 24% growth rate applies for 6 years, then fades, which fits a plausible “beat-consensus” trajectory without assuming a return to early-stage hypergrowth. This matches Shopify’s scaling growth life cycle stage rather than a mature one.</t>
  </si>
  <si>
    <t>I assume Shopify improves capital efficiency as it scales, with more revenue per £ of adjusted equity because software and platform investments amortise across a larger base. This pushes the ratio above the base case and into the upper industry range while staying realistic given merchant financing and ongoing intangible reinvestment needs. The bull case assumes tighter spend discipline and better monetisation, not a stop to investment.</t>
  </si>
  <si>
    <t>I assume Shopify holds stronger pricing power and operating leverage as merchants adopt more high-value services and the platform standardises more workflows with AI-led tooling. This sets the stable margin above base and near the industry 70th percentile, but below the most extreme outcomes because merchant solutions mix and stock-based pay can still cap net margins. It stays plausible given the improving medium-term profitability implied by analyst net income rising faster than revenue.</t>
  </si>
  <si>
    <t>I set FY+1 margin above the base case because the bull case assumes faster operating leverage and a cleaner cost ramp in sales and marketing and platform operations. I do not copy the consensus margin level because analysts expense R&amp;D and go-to-market costs, while our adjusted numbers capitalise them and can show higher margins in strong years. This still leaves room for margins to drift towards the stable level as competition and reinvestment normalise.</t>
  </si>
  <si>
    <t>I pull forward convergence versus base because the bull case assumes Shopify harvests scale benefits sooner and improves mix towards higher take-rate services. I still avoid instant convergence because management plans continued investment in AI, analytics, and international build-out, which creates real cost drag even in a strong scenario. This keeps the margin path consistent with a growth firm that matures gradually.</t>
  </si>
  <si>
    <t>I assume Shopify sustains a stronger moat and earns persistently high returns on incremental equity as the ecosystem deepens and switching costs rise. A stable 18% ROE sits above the 10.28% stable cost of equity, so it still creates value in maturity, and it lands around the industry 70th percentile rather than an extreme top-decile assumption. This is higher than base but still consistent with a scaled software platform facing competition.</t>
  </si>
  <si>
    <t>A2/A</t>
  </si>
  <si>
    <t>I assume higher and more stable cash generation, with less need to rely on external funding because profitability improves and working capital stays manageable. That supports a one-notch improvement versus base despite ongoing business risk from merchant exposure and convertibles. The rating stays investment grade and avoids an overly optimistic jump given platform and macro sensitivity.</t>
  </si>
  <si>
    <t>I assume more balance sheet resilience in this scenario, with a larger cash and marketable securities buffer and stronger going-concern value from a broader merchant base. That lifts expected recovery modestly versus base, but I keep it well below hard-asset-heavy businesses because software and ecosystem value can still erode quickly in distress.</t>
  </si>
  <si>
    <t>Bear-case scenario</t>
  </si>
  <si>
    <t>Shopify moves from scaling growth towards a more challenged, late-growth phase as merchant demand weakens and competitors squeeze pricing in commerce tools and payments. I assume churn rises among smaller merchants, and larger merchants negotiate harder, which slows both subscription growth and merchant solutions take rates. Shopify keeps spending on artificial intelligence, analytics, and international expansion to defend the platform, but this spend delays operating leverage and caps long-run profitability. The moat holds in core use cases, but it looks less durable at the margin, so growth and returns fade faster and settle closer to industry norms.</t>
  </si>
  <si>
    <t>I assume growth slows because merchants cut discretionary spend and competition in commerce tools and payments intensifies. The analyst revenue path still implies strong expansion from the current base, but this bear case prices in more churn, lower take rates, and weaker international execution, so I pull the first-half growth well below the base-case pace while keeping it plausible for a scaled platform.</t>
  </si>
  <si>
    <t>I set terminal growth close to the risk-free rate but below it, because Shopify should not outgrow the wider economy forever in a tougher competitive and regulatory setting. This also fits a mature platform that still benefits from steady digital commerce share gains, but with less upside than the base case.</t>
  </si>
  <si>
    <t>I keep a 10-year fade because Shopify still operates in a large market, so it should not hit maturity overnight even in a bear case. With Y set to 10, a 14% rate reads as a plausible 5-year growth run-rate versus the multi-year consensus trajectory, then I fade it down to a near-GDP terminal rate as penetration and pricing power weaken.</t>
  </si>
  <si>
    <t>I assume Shopify needs heavier reinvestment in product, security, and international selling to defend share, and that lowers capital efficiency in the adjusted numbers where I capitalise intangibles. This keeps the ratio only slightly above recent levels and below the base case, which matches a defensive posture rather than clean operating leverage.</t>
  </si>
  <si>
    <t>I assume sustained mix shift towards lower-margin merchant solutions and higher ongoing spend on AI, analytics, and partner incentives to hold the ecosystem together. That pushes long-run margin towards the industry median rather than the upper-percentile levels implied by Shopify’s best adjusted years, which also looked volatile and cycle-sensitive.</t>
  </si>
  <si>
    <t>I assume near-term margin compresses from the latest adjusted peak because Shopify keeps spending to protect growth while merchant demand cools and price competition rises. Analysts show improving reported net income over time, but my adjusted margin starts lower because I treat more spending as investment and because the bear case assumes less operating leverage in the next year.</t>
  </si>
  <si>
    <t>I stretch convergence because competitive pressure and platform investment needs stay elevated for longer in the bear case. This slower path fits a world where Shopify cannot lock in high margins quickly and instead drifts down towards a more normal, defensible level.</t>
  </si>
  <si>
    <t>I assume Shopify still earns above its stable cost of equity because the platform retains some stickiness, but I cut ROE versus the base case as margins fall and reinvestment intensity stays high. This lands near the industry median and reflects weaker moat economics rather than value destruction.</t>
  </si>
  <si>
    <t>Baa2/BBB</t>
  </si>
  <si>
    <t>I assume weaker cash generation and higher earnings volatility because merchant solutions add more cycle exposure and Shopify continues large equity compensation and investment spend. The convertibles and business risk argue for a step down from the base case, but the firm’s scale and capital-light model still support investment grade in this scenario.</t>
  </si>
  <si>
    <t>I assume lower recovery because much of Shopify’s value sits in software and relationships that can unwind fast under stress. I still allow some recovery from cash, securities, and going-concern value, but I mark it down versus the base case to reflect weaker asset backing.</t>
  </si>
  <si>
    <t>Sensitivity</t>
  </si>
  <si>
    <t xml:space="preserve">Stable growth rate →
↓ Cost of equity</t>
  </si>
  <si>
    <t>Note: Green cells indicate scenarios where the calculated intrinsic value per share is above the current market price, suggesting potential undervaluation. Red cells indicate scenarios where the intrinsic value is below the market price, suggesting potential overvaluation.</t>
  </si>
  <si>
    <t>Reverse DCF</t>
  </si>
  <si>
    <t>Driver</t>
  </si>
  <si>
    <t>Base Value</t>
  </si>
  <si>
    <t>Market Implied</t>
  </si>
  <si>
    <t>Difference</t>
  </si>
  <si>
    <t>Monte-Carlo simulation percentile distribution</t>
  </si>
  <si>
    <t>Percentile</t>
  </si>
  <si>
    <t>Price</t>
  </si>
  <si>
    <t>P0</t>
  </si>
  <si>
    <t>P5</t>
  </si>
  <si>
    <t>P15</t>
  </si>
  <si>
    <t>P20</t>
  </si>
  <si>
    <t>P30</t>
  </si>
  <si>
    <t>P35</t>
  </si>
  <si>
    <t>P40</t>
  </si>
  <si>
    <t>P45</t>
  </si>
  <si>
    <t>P55</t>
  </si>
  <si>
    <t>P60</t>
  </si>
  <si>
    <t>P65</t>
  </si>
  <si>
    <t>P70</t>
  </si>
  <si>
    <t>P80</t>
  </si>
  <si>
    <t>P85</t>
  </si>
  <si>
    <t>P95</t>
  </si>
  <si>
    <t>P100</t>
  </si>
  <si>
    <t>The Monte Carlo distribution maps simulated prices to percentiles. Recommendations follow these: below the 10th is a Strong Buy, below the 25th a Buy, the 25th–75th a Hold, the 75th–90th a Sell, and anything higher a Strong Sell. Green shading indicates buy zones, gray indicates hold, and red indicates sell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</si>
</sst>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US$&quot;#,##0.00"/>
    <numFmt numFmtId="165" formatCode="0.0%"/>
    <numFmt numFmtId="166" formatCode="yyyy-mm-dd"/>
    <numFmt numFmtId="167" formatCode="#,##0.0"/>
    <numFmt numFmtId="168" formatCode="0.0"/>
    <numFmt numFmtId="169" formatCode="0.000"/>
    <numFmt numFmtId="170" formatCode="&quot;US$&quot;#,##0"/>
    <numFmt numFmtId="171" formatCode="#0.0"/>
  </numFmts>
  <fonts count="19" x14ac:knownFonts="1">
    <font>
      <color theme="1"/>
      <family val="2"/>
      <scheme val="minor"/>
      <sz val="11"/>
      <name val="Calibri"/>
    </font>
    <font>
      <b/>
      <color rgb="FF0284c7"/>
      <sz val="32"/>
    </font>
    <font>
      <b/>
      <color rgb="FF111827"/>
      <sz val="26"/>
    </font>
    <font>
      <color rgb="FF111827"/>
      <sz val="12"/>
    </font>
    <font>
      <u/>
      <color rgb="FF0284c7"/>
      <sz val="12"/>
    </font>
    <font>
      <color rgb="FF111827"/>
      <sz val="10"/>
    </font>
    <font>
      <b/>
      <color rgb="FFFFFFFF"/>
      <sz val="26"/>
    </font>
    <font>
      <sz val="12"/>
    </font>
    <font>
      <color rgb="FF1F4E79"/>
      <sz val="12"/>
    </font>
    <font>
      <b/>
      <u/>
    </font>
    <font>
      <b/>
      <u/>
      <sz val="12"/>
    </font>
    <font>
      <b/>
      <sz val="12"/>
    </font>
    <font>
      <b/>
      <color rgb="FF000000"/>
      <sz val="12"/>
    </font>
    <font>
      <color rgb="FF000000"/>
      <sz val="12"/>
    </font>
    <font>
      <b/>
    </font>
    <font>
      <b/>
      <color rgb="FF1F4E79"/>
      <sz val="12"/>
    </font>
    <font>
      <i/>
    </font>
    <font>
      <i/>
      <sz val="12"/>
    </font>
    <font>
      <sz val="10"/>
    </font>
  </fonts>
  <fills count="11">
    <fill>
      <patternFill patternType="none"/>
    </fill>
    <fill>
      <patternFill patternType="gray125"/>
    </fill>
    <fill>
      <patternFill patternType="solid">
        <fgColor rgb="FF0284c7"/>
      </patternFill>
    </fill>
    <fill>
      <patternFill patternType="solid">
        <fgColor rgb="FFFFFDE6"/>
      </patternFill>
    </fill>
    <fill>
      <patternFill patternType="solid">
        <fgColor rgb="FFFCE5CD"/>
      </patternFill>
    </fill>
    <fill>
      <patternFill patternType="solid">
        <fgColor rgb="FFFFE6E6"/>
      </patternFill>
    </fill>
    <fill>
      <patternFill patternType="solid">
        <fgColor rgb="FF198754"/>
      </patternFill>
    </fill>
    <fill>
      <patternFill patternType="solid">
        <fgColor rgb="FFD1E7DD"/>
      </patternFill>
    </fill>
    <fill>
      <patternFill patternType="solid">
        <fgColor rgb="FFE5E7EB"/>
      </patternFill>
    </fill>
    <fill>
      <patternFill patternType="solid">
        <fgColor rgb="FFF8D7DA"/>
      </patternFill>
    </fill>
    <fill>
      <patternFill patternType="solid">
        <fgColor rgb="FFDC3545"/>
      </patternFill>
    </fill>
  </fills>
  <borders count="5">
    <border>
      <left/>
      <right/>
      <top/>
      <bottom/>
      <diagonal/>
    </border>
    <border>
      <left/>
      <right/>
      <top/>
      <bottom style="thin">
        <color rgb="FF0284c7"/>
      </bottom>
      <diagonal/>
    </border>
    <border>
      <left style="thin">
        <color rgb="FF000000"/>
      </left>
      <right style="thin">
        <color rgb="FF000000"/>
      </right>
      <top style="thin">
        <color rgb="FF000000"/>
      </top>
      <bottom style="thin">
        <color rgb="FF000000"/>
      </bottom>
      <diagonal/>
    </border>
    <border>
      <left/>
      <right/>
      <top/>
      <bottom style="thin"/>
      <diagonal/>
    </border>
    <border>
      <left/>
      <right style="thin"/>
      <top/>
      <bottom/>
      <diagonal/>
    </border>
  </borders>
  <cellStyleXfs count="1">
    <xf numFmtId="0" fontId="0" fillId="0" borderId="0"/>
  </cellStyleXfs>
  <cellXfs count="76">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xf>
    <xf numFmtId="0" fontId="0" fillId="0" borderId="0" xfId="0" applyAlignment="1">
      <alignment horizontal="right"/>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6" fillId="2" borderId="1" xfId="0" applyFont="1" applyFill="1" applyBorder="1" applyAlignment="1">
      <alignment horizontal="right"/>
    </xf>
    <xf numFmtId="0" fontId="7" fillId="0" borderId="0" xfId="0" applyFont="1" applyAlignment="1">
      <alignment horizontal="left"/>
    </xf>
    <xf numFmtId="0" fontId="7" fillId="0" borderId="0" xfId="0" applyFont="1" applyAlignment="1">
      <alignment horizontal="right"/>
    </xf>
    <xf numFmtId="164" fontId="8" fillId="0" borderId="0" xfId="0" applyNumberFormat="1" applyFont="1" applyAlignment="1">
      <alignment horizontal="right"/>
    </xf>
    <xf numFmtId="165" fontId="8" fillId="0" borderId="0" xfId="0" applyNumberFormat="1" applyFont="1" applyAlignment="1">
      <alignment horizontal="right"/>
    </xf>
    <xf numFmtId="166" fontId="7"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left"/>
    </xf>
    <xf numFmtId="165" fontId="8" fillId="3" borderId="2" xfId="0" applyNumberFormat="1" applyFont="1" applyFill="1" applyBorder="1" applyAlignment="1">
      <alignment horizontal="right"/>
    </xf>
    <xf numFmtId="167" fontId="8" fillId="3" borderId="2" xfId="0" applyNumberFormat="1" applyFont="1" applyFill="1" applyBorder="1" applyAlignment="1">
      <alignment horizontal="right"/>
    </xf>
    <xf numFmtId="0" fontId="11" fillId="0" borderId="3" xfId="0" applyFont="1" applyBorder="1" applyAlignment="1">
      <alignment horizontal="left"/>
    </xf>
    <xf numFmtId="0" fontId="11" fillId="0" borderId="3" xfId="0" applyFont="1" applyBorder="1" applyAlignment="1">
      <alignment horizontal="right"/>
    </xf>
    <xf numFmtId="0" fontId="12" fillId="0" borderId="3" xfId="0" applyFont="1" applyBorder="1" applyAlignment="1">
      <alignment horizontal="right"/>
    </xf>
    <xf numFmtId="3" fontId="13" fillId="0" borderId="0" xfId="0" applyNumberFormat="1" applyFont="1" applyAlignment="1">
      <alignment horizontal="right"/>
    </xf>
    <xf numFmtId="165" fontId="13" fillId="0" borderId="0" xfId="0" applyNumberFormat="1" applyFont="1" applyAlignment="1">
      <alignment horizontal="right"/>
    </xf>
    <xf numFmtId="168" fontId="13" fillId="0" borderId="0" xfId="0" applyNumberFormat="1" applyFont="1" applyAlignment="1">
      <alignment horizontal="right"/>
    </xf>
    <xf numFmtId="169" fontId="13" fillId="0" borderId="0" xfId="0" applyNumberFormat="1" applyFont="1" applyAlignment="1">
      <alignment horizontal="right"/>
    </xf>
    <xf numFmtId="3" fontId="8" fillId="0" borderId="0" xfId="0" applyNumberFormat="1" applyFont="1" applyAlignment="1">
      <alignment horizontal="right"/>
    </xf>
    <xf numFmtId="167" fontId="13" fillId="0" borderId="0" xfId="0" applyNumberFormat="1" applyFont="1" applyAlignment="1">
      <alignment horizontal="right"/>
    </xf>
    <xf numFmtId="164" fontId="13" fillId="4" borderId="0" xfId="0" applyNumberFormat="1" applyFont="1" applyFill="1" applyAlignment="1">
      <alignment horizontal="right"/>
    </xf>
    <xf numFmtId="0" fontId="10" fillId="0" borderId="0" xfId="0" applyFont="1" applyAlignment="1">
      <alignment horizontal="right"/>
    </xf>
    <xf numFmtId="0" fontId="14" fillId="0" borderId="0" xfId="0" applyFont="1"/>
    <xf numFmtId="3" fontId="8" fillId="0" borderId="0" xfId="0" applyNumberFormat="1" applyFont="1" applyAlignment="1">
      <alignment horizontal="left"/>
    </xf>
    <xf numFmtId="1" fontId="8" fillId="0" borderId="0" xfId="0" applyNumberFormat="1" applyFont="1" applyAlignment="1">
      <alignment horizontal="left"/>
    </xf>
    <xf numFmtId="164" fontId="7" fillId="0" borderId="0" xfId="0" applyNumberFormat="1" applyFont="1" applyAlignment="1">
      <alignment horizontal="right"/>
    </xf>
    <xf numFmtId="0" fontId="11" fillId="0" borderId="0" xfId="0" applyFont="1" applyAlignment="1">
      <alignment horizontal="right"/>
    </xf>
    <xf numFmtId="1" fontId="15" fillId="0" borderId="3" xfId="0" applyNumberFormat="1" applyFont="1" applyBorder="1" applyAlignment="1">
      <alignment horizontal="right"/>
    </xf>
    <xf numFmtId="165" fontId="0" fillId="0" borderId="0" xfId="0" applyNumberFormat="1" applyAlignment="1">
      <alignment horizontal="right"/>
    </xf>
    <xf numFmtId="165" fontId="6" fillId="2" borderId="1" xfId="0" applyNumberFormat="1" applyFont="1" applyFill="1" applyBorder="1" applyAlignment="1">
      <alignment horizontal="right"/>
    </xf>
    <xf numFmtId="165" fontId="7" fillId="0" borderId="0" xfId="0" applyNumberFormat="1" applyFont="1" applyAlignment="1">
      <alignment horizontal="right"/>
    </xf>
    <xf numFmtId="165" fontId="11" fillId="0" borderId="3" xfId="0" applyNumberFormat="1" applyFont="1" applyBorder="1" applyAlignment="1">
      <alignment horizontal="right"/>
    </xf>
    <xf numFmtId="0" fontId="11" fillId="0" borderId="0" xfId="0" applyFont="1" applyAlignment="1">
      <alignment horizontal="left"/>
    </xf>
    <xf numFmtId="0" fontId="16" fillId="0" borderId="0" xfId="0" applyFont="1"/>
    <xf numFmtId="0" fontId="17" fillId="0" borderId="0" xfId="0" applyFont="1" applyAlignment="1">
      <alignment horizontal="right"/>
    </xf>
    <xf numFmtId="170" fontId="8" fillId="0" borderId="0" xfId="0" applyNumberFormat="1" applyFont="1" applyAlignment="1">
      <alignment horizontal="right"/>
    </xf>
    <xf numFmtId="171" fontId="13" fillId="0" borderId="0" xfId="0" applyNumberFormat="1" applyFont="1" applyAlignment="1">
      <alignment horizontal="right"/>
    </xf>
    <xf numFmtId="164" fontId="0" fillId="0" borderId="0" xfId="0" applyNumberFormat="1" applyAlignment="1">
      <alignment horizontal="right"/>
    </xf>
    <xf numFmtId="165" fontId="0" fillId="0" borderId="0" xfId="0" applyNumberFormat="1" applyAlignment="1">
      <alignment horizontal="left"/>
    </xf>
    <xf numFmtId="164" fontId="6"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165" fontId="7" fillId="0" borderId="0" xfId="0" applyNumberFormat="1" applyFont="1" applyAlignment="1">
      <alignment horizontal="left"/>
    </xf>
    <xf numFmtId="164" fontId="11" fillId="0" borderId="3" xfId="0" applyNumberFormat="1" applyFont="1" applyBorder="1" applyAlignment="1">
      <alignment horizontal="right"/>
    </xf>
    <xf numFmtId="165" fontId="11" fillId="0" borderId="3" xfId="0" applyNumberFormat="1" applyFont="1" applyBorder="1" applyAlignment="1">
      <alignment horizontal="left"/>
    </xf>
    <xf numFmtId="165" fontId="8" fillId="0" borderId="0" xfId="0" applyNumberFormat="1"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left"/>
    </xf>
    <xf numFmtId="10" fontId="11" fillId="0" borderId="3" xfId="0" applyNumberFormat="1" applyFont="1" applyBorder="1" applyAlignment="1">
      <alignment horizontal="right"/>
    </xf>
    <xf numFmtId="165" fontId="11" fillId="0" borderId="4" xfId="0" applyNumberFormat="1" applyFont="1" applyBorder="1" applyAlignment="1">
      <alignment horizontal="left"/>
    </xf>
    <xf numFmtId="164" fontId="7" fillId="5" borderId="0" xfId="0" applyNumberFormat="1" applyFont="1" applyFill="1" applyAlignment="1">
      <alignment horizontal="right"/>
    </xf>
    <xf numFmtId="0" fontId="5" fillId="0" borderId="0" xfId="0" applyFont="1"/>
    <xf numFmtId="0" fontId="5" fillId="0" borderId="0" xfId="0" applyFont="1" applyAlignment="1">
      <alignment horizontal="left"/>
    </xf>
    <xf numFmtId="0" fontId="5" fillId="0" borderId="0" xfId="0" applyFont="1" applyAlignment="1">
      <alignment horizontal="right"/>
    </xf>
    <xf numFmtId="167" fontId="0" fillId="0" borderId="0" xfId="0" applyNumberFormat="1" applyAlignment="1">
      <alignment horizontal="right"/>
    </xf>
    <xf numFmtId="167" fontId="6" fillId="2" borderId="1" xfId="0" applyNumberFormat="1" applyFont="1" applyFill="1" applyBorder="1" applyAlignment="1">
      <alignment horizontal="right"/>
    </xf>
    <xf numFmtId="167" fontId="7" fillId="0" borderId="0" xfId="0" applyNumberFormat="1" applyFont="1" applyAlignment="1">
      <alignment horizontal="right"/>
    </xf>
    <xf numFmtId="167" fontId="11" fillId="0" borderId="3" xfId="0" applyNumberFormat="1" applyFont="1" applyBorder="1" applyAlignment="1">
      <alignment horizontal="right"/>
    </xf>
    <xf numFmtId="168" fontId="8" fillId="0" borderId="0" xfId="0" applyNumberFormat="1" applyFont="1" applyAlignment="1">
      <alignment horizontal="right"/>
    </xf>
    <xf numFmtId="167" fontId="10" fillId="0" borderId="0" xfId="0" applyNumberFormat="1" applyFont="1" applyAlignment="1">
      <alignment horizontal="right"/>
    </xf>
    <xf numFmtId="167" fontId="11" fillId="0" borderId="0" xfId="0" applyNumberFormat="1" applyFont="1" applyAlignment="1">
      <alignment horizontal="right"/>
    </xf>
    <xf numFmtId="164" fontId="7" fillId="6" borderId="0" xfId="0" applyNumberFormat="1" applyFont="1" applyFill="1" applyAlignment="1">
      <alignment horizontal="right"/>
    </xf>
    <xf numFmtId="164" fontId="7" fillId="7" borderId="0" xfId="0" applyNumberFormat="1" applyFont="1" applyFill="1" applyAlignment="1">
      <alignment horizontal="right"/>
    </xf>
    <xf numFmtId="164" fontId="7" fillId="8" borderId="0" xfId="0" applyNumberFormat="1" applyFont="1" applyFill="1" applyAlignment="1">
      <alignment horizontal="right"/>
    </xf>
    <xf numFmtId="164" fontId="7" fillId="9" borderId="0" xfId="0" applyNumberFormat="1" applyFont="1" applyFill="1" applyAlignment="1">
      <alignment horizontal="right"/>
    </xf>
    <xf numFmtId="164" fontId="7" fillId="10" borderId="0" xfId="0" applyNumberFormat="1" applyFont="1" applyFill="1" applyAlignment="1">
      <alignment horizontal="righ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valuationbot.ai/analysis/cae7b900-0142-43f0-b4b8-a70e4a15ac28/results" TargetMode="External"/><Relationship Id="rId2" Type="http://schemas.openxmlformats.org/officeDocument/2006/relationships/hyperlink" Target="https://valuationbot.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owGridLines="0"/>
  </sheetViews>
  <sheetFormatPr defaultRowHeight="15" outlineLevelRow="0" outlineLevelCol="0" x14ac:dyDescent="55"/>
  <cols>
    <col min="1" max="2" width="50" customWidth="1"/>
  </cols>
  <sheetData>
    <row r="1" spans="1:2" x14ac:dyDescent="0.25">
      <c r="A1" s="1" t="s">
        <v>0</v>
      </c>
      <c r="B1" s="1"/>
    </row>
    <row r="2" spans="1:2" x14ac:dyDescent="0.25">
      <c r="A2" s="2" t="s">
        <v>1</v>
      </c>
      <c r="B2" s="2"/>
    </row>
    <row r="3" spans="1:2" x14ac:dyDescent="0.25">
      <c r="A3" s="3" t="s">
        <v>2</v>
      </c>
      <c r="B3" s="3"/>
    </row>
    <row r="4" spans="1:2" x14ac:dyDescent="0.25">
      <c r="A4" s="3" t="s">
        <v>3</v>
      </c>
      <c r="B4" s="3"/>
    </row>
    <row r="5" spans="1:2" x14ac:dyDescent="0.25">
      <c r="A5" s="3" t="s">
        <v>4</v>
      </c>
      <c r="B5" s="3"/>
    </row>
    <row r="6" spans="1:2" x14ac:dyDescent="0.25">
      <c r="A6" s="3" t="s">
        <v>5</v>
      </c>
      <c r="B6" s="3"/>
    </row>
    <row r="7" spans="1:2" x14ac:dyDescent="0.25">
      <c r="A7" s="4" t="s">
        <v>6</v>
      </c>
      <c r="B7" s="4"/>
    </row>
    <row r="8" spans="1:2" x14ac:dyDescent="0.25">
      <c r="A8" s="4" t="s">
        <v>0</v>
      </c>
      <c r="B8" s="4"/>
    </row>
    <row r="9" spans="1:2" x14ac:dyDescent="0.25">
      <c r="A9" s="5" t="s">
        <v>7</v>
      </c>
      <c r="B9" s="5"/>
    </row>
    <row r="10" spans="1:2" x14ac:dyDescent="0.25">
      <c r="A10" s="5" t="s">
        <v>8</v>
      </c>
      <c r="B10" s="5"/>
    </row>
  </sheetData>
  <mergeCells count="10">
    <mergeCell ref="A1:B1"/>
    <mergeCell ref="A2:B2"/>
    <mergeCell ref="A3:B3"/>
    <mergeCell ref="A4:B4"/>
    <mergeCell ref="A5:B5"/>
    <mergeCell ref="A6:B6"/>
    <mergeCell ref="A7:B7"/>
    <mergeCell ref="A8:B8"/>
    <mergeCell ref="A9:B9"/>
    <mergeCell ref="A10:B10"/>
  </mergeCells>
  <hyperlinks>
    <hyperlink ref="A7" r:id="rId1"/>
    <hyperlink ref="A8" r:id="rId2"/>
  </hyperlink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owGridLines="0"/>
  </sheetViews>
  <sheetFormatPr defaultRowHeight="15" outlineLevelRow="0" outlineLevelCol="0" x14ac:dyDescent="55"/>
  <cols>
    <col min="1" max="1" width="20" style="6" customWidth="1"/>
    <col min="2" max="2" width="15" style="47" customWidth="1"/>
    <col min="3" max="3" width="15" style="48" customWidth="1"/>
  </cols>
  <sheetData>
    <row r="1" spans="1:3" s="8" customFormat="1" x14ac:dyDescent="0.25">
      <c r="A1" s="9" t="s">
        <v>190</v>
      </c>
      <c r="B1" s="49"/>
      <c r="C1" s="50"/>
    </row>
    <row r="2" spans="1:3" x14ac:dyDescent="0.25">
      <c r="A2" s="11" t="s">
        <v>10</v>
      </c>
      <c r="B2" s="35"/>
      <c r="C2" s="51"/>
    </row>
    <row r="4" spans="1:3" s="32" customFormat="1" x14ac:dyDescent="0.25">
      <c r="A4" s="21" t="s">
        <v>191</v>
      </c>
      <c r="B4" s="52" t="s">
        <v>192</v>
      </c>
      <c r="C4" s="53" t="s">
        <v>193</v>
      </c>
    </row>
    <row r="5" spans="1:3" x14ac:dyDescent="0.25">
      <c r="A5" s="11" t="s">
        <v>194</v>
      </c>
      <c r="B5" s="13">
        <v>20.12449434241191</v>
      </c>
      <c r="C5" s="54">
        <v>-0.8203971946237224</v>
      </c>
    </row>
    <row r="6" spans="1:3" x14ac:dyDescent="0.25">
      <c r="A6" s="11" t="s">
        <v>195</v>
      </c>
      <c r="B6" s="13">
        <v>5.394553833572406</v>
      </c>
      <c r="C6" s="54">
        <v>-0.9518558337030576</v>
      </c>
    </row>
    <row r="7" spans="1:3" x14ac:dyDescent="0.25">
      <c r="A7" s="11" t="s">
        <v>196</v>
      </c>
      <c r="B7" s="13">
        <v>48.47185411420665</v>
      </c>
      <c r="C7" s="54">
        <v>-0.5674087093778969</v>
      </c>
    </row>
    <row r="9" spans="1:3" x14ac:dyDescent="0.25">
      <c r="A9" s="18" t="s">
        <v>197</v>
      </c>
      <c r="B9" s="35"/>
      <c r="C9" s="51"/>
    </row>
    <row r="10" spans="1:3" x14ac:dyDescent="0.25">
      <c r="A10" s="11" t="s">
        <v>198</v>
      </c>
      <c r="B10" s="13">
        <v>48.47185411420665</v>
      </c>
      <c r="C10" s="51"/>
    </row>
    <row r="11" spans="1:3" x14ac:dyDescent="0.25">
      <c r="A11" s="11" t="s">
        <v>193</v>
      </c>
      <c r="B11" s="14">
        <v>-0.5674087093778969</v>
      </c>
      <c r="C11" s="51"/>
    </row>
    <row r="12" spans="1:3" x14ac:dyDescent="0.25">
      <c r="A12" s="11" t="s">
        <v>199</v>
      </c>
      <c r="B12" s="35"/>
      <c r="C12" s="51"/>
    </row>
    <row r="13" spans="1:3" s="17" customFormat="1" x14ac:dyDescent="0.25">
      <c r="A13" s="18" t="s">
        <v>200</v>
      </c>
      <c r="B13" s="55" t="s">
        <v>96</v>
      </c>
      <c r="C13" s="56" t="s">
        <v>99</v>
      </c>
    </row>
    <row r="14" spans="1:3" x14ac:dyDescent="0.25">
      <c r="A14" s="11" t="s">
        <v>40</v>
      </c>
      <c r="B14" s="14">
        <v>0.24</v>
      </c>
      <c r="C14" s="51" t="s">
        <v>201</v>
      </c>
    </row>
    <row r="15" spans="1:3" x14ac:dyDescent="0.25">
      <c r="A15" s="11" t="s">
        <v>42</v>
      </c>
      <c r="B15" s="14">
        <v>0.0375</v>
      </c>
      <c r="C15" s="51" t="s">
        <v>202</v>
      </c>
    </row>
    <row r="16" spans="1:3" x14ac:dyDescent="0.25">
      <c r="A16" s="11" t="s">
        <v>44</v>
      </c>
      <c r="B16" s="16">
        <v>12</v>
      </c>
      <c r="C16" s="51" t="s">
        <v>203</v>
      </c>
    </row>
    <row r="17" spans="1:3" x14ac:dyDescent="0.25">
      <c r="A17" s="11" t="s">
        <v>46</v>
      </c>
      <c r="B17" s="16">
        <v>0.85</v>
      </c>
      <c r="C17" s="51" t="s">
        <v>204</v>
      </c>
    </row>
    <row r="18" spans="1:3" x14ac:dyDescent="0.25">
      <c r="A18" s="11" t="s">
        <v>48</v>
      </c>
      <c r="B18" s="14">
        <v>0.23</v>
      </c>
      <c r="C18" s="51" t="s">
        <v>205</v>
      </c>
    </row>
    <row r="19" spans="1:3" x14ac:dyDescent="0.25">
      <c r="A19" s="11" t="s">
        <v>50</v>
      </c>
      <c r="B19" s="14">
        <v>0.25</v>
      </c>
      <c r="C19" s="51" t="s">
        <v>206</v>
      </c>
    </row>
    <row r="20" spans="1:3" x14ac:dyDescent="0.25">
      <c r="A20" s="11" t="s">
        <v>52</v>
      </c>
      <c r="B20" s="16">
        <v>5</v>
      </c>
      <c r="C20" s="51" t="s">
        <v>207</v>
      </c>
    </row>
    <row r="21" spans="1:3" x14ac:dyDescent="0.25">
      <c r="A21" s="11" t="s">
        <v>54</v>
      </c>
      <c r="B21" s="14">
        <v>0.18</v>
      </c>
      <c r="C21" s="51" t="s">
        <v>208</v>
      </c>
    </row>
    <row r="22" spans="1:3" x14ac:dyDescent="0.25">
      <c r="A22" s="11" t="s">
        <v>56</v>
      </c>
      <c r="B22" s="35" t="s">
        <v>209</v>
      </c>
      <c r="C22" s="51" t="s">
        <v>210</v>
      </c>
    </row>
    <row r="23" spans="1:3" x14ac:dyDescent="0.25">
      <c r="A23" s="11" t="s">
        <v>59</v>
      </c>
      <c r="B23" s="14">
        <v>0.55</v>
      </c>
      <c r="C23" s="51" t="s">
        <v>211</v>
      </c>
    </row>
    <row r="25" spans="1:3" x14ac:dyDescent="0.25">
      <c r="A25" s="18" t="s">
        <v>212</v>
      </c>
      <c r="B25" s="35"/>
      <c r="C25" s="51"/>
    </row>
    <row r="26" spans="1:3" x14ac:dyDescent="0.25">
      <c r="A26" s="11" t="s">
        <v>198</v>
      </c>
      <c r="B26" s="13">
        <v>5.394553833572406</v>
      </c>
      <c r="C26" s="51"/>
    </row>
    <row r="27" spans="1:3" x14ac:dyDescent="0.25">
      <c r="A27" s="11" t="s">
        <v>193</v>
      </c>
      <c r="B27" s="14">
        <v>-0.9518558337030576</v>
      </c>
      <c r="C27" s="51"/>
    </row>
    <row r="28" spans="1:3" x14ac:dyDescent="0.25">
      <c r="A28" s="11" t="s">
        <v>213</v>
      </c>
      <c r="B28" s="35"/>
      <c r="C28" s="51"/>
    </row>
    <row r="29" spans="1:3" s="17" customFormat="1" x14ac:dyDescent="0.25">
      <c r="A29" s="18" t="s">
        <v>200</v>
      </c>
      <c r="B29" s="55" t="s">
        <v>96</v>
      </c>
      <c r="C29" s="56" t="s">
        <v>99</v>
      </c>
    </row>
    <row r="30" spans="1:3" x14ac:dyDescent="0.25">
      <c r="A30" s="11" t="s">
        <v>40</v>
      </c>
      <c r="B30" s="14">
        <v>0.14</v>
      </c>
      <c r="C30" s="51" t="s">
        <v>214</v>
      </c>
    </row>
    <row r="31" spans="1:3" x14ac:dyDescent="0.25">
      <c r="A31" s="11" t="s">
        <v>42</v>
      </c>
      <c r="B31" s="14">
        <v>0.032</v>
      </c>
      <c r="C31" s="51" t="s">
        <v>215</v>
      </c>
    </row>
    <row r="32" spans="1:3" x14ac:dyDescent="0.25">
      <c r="A32" s="11" t="s">
        <v>44</v>
      </c>
      <c r="B32" s="16">
        <v>10</v>
      </c>
      <c r="C32" s="51" t="s">
        <v>216</v>
      </c>
    </row>
    <row r="33" spans="1:3" x14ac:dyDescent="0.25">
      <c r="A33" s="11" t="s">
        <v>46</v>
      </c>
      <c r="B33" s="16">
        <v>0.55</v>
      </c>
      <c r="C33" s="51" t="s">
        <v>217</v>
      </c>
    </row>
    <row r="34" spans="1:3" x14ac:dyDescent="0.25">
      <c r="A34" s="11" t="s">
        <v>48</v>
      </c>
      <c r="B34" s="14">
        <v>0.13</v>
      </c>
      <c r="C34" s="51" t="s">
        <v>218</v>
      </c>
    </row>
    <row r="35" spans="1:3" x14ac:dyDescent="0.25">
      <c r="A35" s="11" t="s">
        <v>50</v>
      </c>
      <c r="B35" s="14">
        <v>0.16</v>
      </c>
      <c r="C35" s="51" t="s">
        <v>219</v>
      </c>
    </row>
    <row r="36" spans="1:3" x14ac:dyDescent="0.25">
      <c r="A36" s="11" t="s">
        <v>52</v>
      </c>
      <c r="B36" s="16">
        <v>7</v>
      </c>
      <c r="C36" s="51" t="s">
        <v>220</v>
      </c>
    </row>
    <row r="37" spans="1:3" x14ac:dyDescent="0.25">
      <c r="A37" s="11" t="s">
        <v>54</v>
      </c>
      <c r="B37" s="14">
        <v>0.11</v>
      </c>
      <c r="C37" s="51" t="s">
        <v>221</v>
      </c>
    </row>
    <row r="38" spans="1:3" x14ac:dyDescent="0.25">
      <c r="A38" s="11" t="s">
        <v>56</v>
      </c>
      <c r="B38" s="35" t="s">
        <v>222</v>
      </c>
      <c r="C38" s="51" t="s">
        <v>223</v>
      </c>
    </row>
    <row r="39" spans="1:3" x14ac:dyDescent="0.25">
      <c r="A39" s="11" t="s">
        <v>59</v>
      </c>
      <c r="B39" s="14">
        <v>0.4</v>
      </c>
      <c r="C39" s="51" t="s">
        <v>224</v>
      </c>
    </row>
  </sheetData>
  <pageMargins left="0.7" right="0.7" top="0.75" bottom="0.75" header="0.3" footer="0.3"/>
  <pageSetup orientation="portrait" horizontalDpi="4294967295" verticalDpi="4294967295" scale="100" fitToWidth="1" fitToHeigh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owGridLines="0"/>
  </sheetViews>
  <sheetFormatPr defaultRowHeight="15" outlineLevelRow="0" outlineLevelCol="0" x14ac:dyDescent="55"/>
  <cols>
    <col min="1" max="1" width="25" style="6" customWidth="1"/>
    <col min="2" max="8" width="15" style="7" customWidth="1"/>
  </cols>
  <sheetData>
    <row r="1" spans="1:8" s="8" customFormat="1" x14ac:dyDescent="0.25">
      <c r="A1" s="9" t="s">
        <v>225</v>
      </c>
      <c r="B1" s="10"/>
      <c r="C1" s="10"/>
      <c r="D1" s="10"/>
      <c r="E1" s="10"/>
      <c r="F1" s="10"/>
      <c r="G1" s="10"/>
      <c r="H1" s="10"/>
    </row>
    <row r="2" spans="1:8" x14ac:dyDescent="0.25">
      <c r="A2" s="11" t="s">
        <v>10</v>
      </c>
      <c r="B2" s="12"/>
      <c r="C2" s="12"/>
      <c r="D2" s="12"/>
      <c r="E2" s="12"/>
      <c r="F2" s="12"/>
      <c r="G2" s="12"/>
      <c r="H2" s="12"/>
    </row>
    <row r="4" spans="1:8" x14ac:dyDescent="0.25">
      <c r="A4" s="21" t="s">
        <v>226</v>
      </c>
      <c r="B4" s="57">
        <v>0.005</v>
      </c>
      <c r="C4" s="57">
        <v>0.01</v>
      </c>
      <c r="D4" s="57">
        <v>0.015</v>
      </c>
      <c r="E4" s="57">
        <v>0.02</v>
      </c>
      <c r="F4" s="57">
        <v>0.025</v>
      </c>
      <c r="G4" s="57">
        <v>0.03</v>
      </c>
      <c r="H4" s="57">
        <v>0.035</v>
      </c>
    </row>
    <row r="5" spans="1:8" x14ac:dyDescent="0.25">
      <c r="A5" s="58">
        <v>0.0945</v>
      </c>
      <c r="B5" s="59">
        <v>23.32314956527538</v>
      </c>
      <c r="C5" s="59">
        <v>23.98782974866527</v>
      </c>
      <c r="D5" s="59">
        <v>24.72923545261902</v>
      </c>
      <c r="E5" s="59">
        <v>25.56244164912067</v>
      </c>
      <c r="F5" s="59">
        <v>26.50685246578312</v>
      </c>
      <c r="G5" s="59">
        <v>27.58787903226738</v>
      </c>
      <c r="H5" s="59">
        <v>28.83946329880623</v>
      </c>
    </row>
    <row r="6" spans="1:8" x14ac:dyDescent="0.25">
      <c r="A6" s="58">
        <v>0.1045</v>
      </c>
      <c r="B6" s="59">
        <v>19.38789129709306</v>
      </c>
      <c r="C6" s="59">
        <v>19.81070996231442</v>
      </c>
      <c r="D6" s="59">
        <v>20.27517338820526</v>
      </c>
      <c r="E6" s="59">
        <v>20.78837113292297</v>
      </c>
      <c r="F6" s="59">
        <v>21.35916906943253</v>
      </c>
      <c r="G6" s="59">
        <v>21.99880536787295</v>
      </c>
      <c r="H6" s="59">
        <v>22.72174373580477</v>
      </c>
    </row>
    <row r="7" spans="1:8" x14ac:dyDescent="0.25">
      <c r="A7" s="58">
        <v>0.1145</v>
      </c>
      <c r="B7" s="59">
        <v>16.26345939190322</v>
      </c>
      <c r="C7" s="59">
        <v>16.5274653663384</v>
      </c>
      <c r="D7" s="59">
        <v>16.81339205197429</v>
      </c>
      <c r="E7" s="59">
        <v>17.12446918694575</v>
      </c>
      <c r="F7" s="59">
        <v>17.46464232360977</v>
      </c>
      <c r="G7" s="59">
        <v>17.83878452950867</v>
      </c>
      <c r="H7" s="59">
        <v>18.2529879749296</v>
      </c>
    </row>
    <row r="8" spans="1:8" x14ac:dyDescent="0.25">
      <c r="A8" s="58">
        <v>0.1245</v>
      </c>
      <c r="B8" s="59">
        <v>13.73983224191182</v>
      </c>
      <c r="C8" s="59">
        <v>13.89727344543766</v>
      </c>
      <c r="D8" s="59">
        <v>14.0652514185858</v>
      </c>
      <c r="E8" s="59">
        <v>14.24507029658329</v>
      </c>
      <c r="F8" s="59">
        <v>14.43829144299754</v>
      </c>
      <c r="G8" s="59">
        <v>14.64680143487969</v>
      </c>
      <c r="H8" s="59">
        <v>14.87290283576546</v>
      </c>
    </row>
    <row r="9" spans="1:8" x14ac:dyDescent="0.25">
      <c r="A9" s="58">
        <v>0.1345</v>
      </c>
      <c r="B9" s="59">
        <v>11.67237015170028</v>
      </c>
      <c r="C9" s="59">
        <v>11.75720593627356</v>
      </c>
      <c r="D9" s="59">
        <v>11.84591342925785</v>
      </c>
      <c r="E9" s="59">
        <v>11.93882434274209</v>
      </c>
      <c r="F9" s="59">
        <v>12.03632685622006</v>
      </c>
      <c r="G9" s="59">
        <v>12.1388790715264</v>
      </c>
      <c r="H9" s="59">
        <v>12.24702652415612</v>
      </c>
    </row>
    <row r="10" spans="1:8" x14ac:dyDescent="0.25">
      <c r="A10" s="58">
        <v>0.1445</v>
      </c>
      <c r="B10" s="59">
        <v>9.958336353979094</v>
      </c>
      <c r="C10" s="59">
        <v>9.993226329253407</v>
      </c>
      <c r="D10" s="59">
        <v>10.02807853179781</v>
      </c>
      <c r="E10" s="59">
        <v>10.06273932283557</v>
      </c>
      <c r="F10" s="59">
        <v>10.09702586215867</v>
      </c>
      <c r="G10" s="59">
        <v>10.13071968671781</v>
      </c>
      <c r="H10" s="59">
        <v>10.16355852960221</v>
      </c>
    </row>
    <row r="11" spans="1:8" x14ac:dyDescent="0.25">
      <c r="A11" s="58">
        <v>0.1545</v>
      </c>
      <c r="B11" s="59">
        <v>8.52284529567432</v>
      </c>
      <c r="C11" s="59">
        <v>8.523234280660041</v>
      </c>
      <c r="D11" s="59">
        <v>8.521323844490308</v>
      </c>
      <c r="E11" s="59">
        <v>8.516729985612514</v>
      </c>
      <c r="F11" s="59">
        <v>8.509006421171474</v>
      </c>
      <c r="G11" s="59">
        <v>8.497632041985794</v>
      </c>
      <c r="H11" s="59">
        <v>8.481995217874902</v>
      </c>
    </row>
    <row r="12" spans="1:8" x14ac:dyDescent="0.25">
      <c r="A12" s="58">
        <v>0.1645</v>
      </c>
      <c r="B12" s="59">
        <v>7.310100391986582</v>
      </c>
      <c r="C12" s="59">
        <v>7.286698337314873</v>
      </c>
      <c r="D12" s="59">
        <v>7.25973737642673</v>
      </c>
      <c r="E12" s="59">
        <v>7.22873825122976</v>
      </c>
      <c r="F12" s="59">
        <v>7.19315043648154</v>
      </c>
      <c r="G12" s="59">
        <v>7.152338859927642</v>
      </c>
      <c r="H12" s="59">
        <v>7.105567545792347</v>
      </c>
    </row>
    <row r="13" spans="1:8" x14ac:dyDescent="0.25">
      <c r="A13" s="58">
        <v>0.1745</v>
      </c>
      <c r="B13" s="59">
        <v>6.277736440447183</v>
      </c>
      <c r="C13" s="59">
        <v>6.238073063426201</v>
      </c>
      <c r="D13" s="59">
        <v>6.194207022448045</v>
      </c>
      <c r="E13" s="59">
        <v>6.145635225399371</v>
      </c>
      <c r="F13" s="59">
        <v>6.091785068289193</v>
      </c>
      <c r="G13" s="59">
        <v>6.032002380376375</v>
      </c>
      <c r="H13" s="59">
        <v>5.965536776652527</v>
      </c>
    </row>
    <row r="14" spans="1:8" x14ac:dyDescent="0.25">
      <c r="A14" s="58">
        <v>0.1845</v>
      </c>
      <c r="B14" s="59">
        <v>5.39305565826604</v>
      </c>
      <c r="C14" s="59">
        <v>5.3424821609761</v>
      </c>
      <c r="D14" s="59">
        <v>5.287441692005998</v>
      </c>
      <c r="E14" s="59">
        <v>5.227444235399709</v>
      </c>
      <c r="F14" s="59">
        <v>5.16193641321042</v>
      </c>
      <c r="G14" s="59">
        <v>5.090291207970819</v>
      </c>
      <c r="H14" s="59">
        <v>5.011795622610934</v>
      </c>
    </row>
    <row r="15" spans="1:8" x14ac:dyDescent="0.25">
      <c r="A15" s="58">
        <v>0.1945</v>
      </c>
      <c r="B15" s="59">
        <v>4.630457595594059</v>
      </c>
      <c r="C15" s="59">
        <v>4.5728075977988</v>
      </c>
      <c r="D15" s="59">
        <v>4.510658853185604</v>
      </c>
      <c r="E15" s="59">
        <v>4.443552406971877</v>
      </c>
      <c r="F15" s="59">
        <v>4.370973477153672</v>
      </c>
      <c r="G15" s="59">
        <v>4.292342948547575</v>
      </c>
      <c r="H15" s="59">
        <v>4.207007266816455</v>
      </c>
    </row>
    <row r="17" spans="1:8" s="60" customFormat="1" x14ac:dyDescent="0.25">
      <c r="A17" s="61" t="s">
        <v>227</v>
      </c>
      <c r="B17" s="62"/>
      <c r="C17" s="62"/>
      <c r="D17" s="62"/>
      <c r="E17" s="62"/>
      <c r="F17" s="62"/>
      <c r="G17" s="62"/>
      <c r="H17" s="62"/>
    </row>
  </sheetData>
  <pageMargins left="0.7" right="0.7" top="0.75" bottom="0.75" header="0.3" footer="0.3"/>
  <pageSetup orientation="portrait" horizontalDpi="4294967295" verticalDpi="4294967295" scale="100" fitToWidth="1" fitToHeigh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owGridLines="0"/>
  </sheetViews>
  <sheetFormatPr defaultRowHeight="15" outlineLevelRow="0" outlineLevelCol="0" x14ac:dyDescent="55"/>
  <cols>
    <col min="1" max="1" width="25" style="6" customWidth="1"/>
    <col min="2" max="4" width="15" style="63" customWidth="1"/>
  </cols>
  <sheetData>
    <row r="1" spans="1:4" s="8" customFormat="1" x14ac:dyDescent="0.25">
      <c r="A1" s="9" t="s">
        <v>228</v>
      </c>
      <c r="B1" s="64"/>
      <c r="C1" s="64"/>
      <c r="D1" s="64"/>
    </row>
    <row r="2" spans="1:4" x14ac:dyDescent="0.25">
      <c r="A2" s="11" t="s">
        <v>10</v>
      </c>
      <c r="B2" s="65"/>
      <c r="C2" s="65"/>
      <c r="D2" s="65"/>
    </row>
    <row r="4" spans="1:4" x14ac:dyDescent="0.25">
      <c r="A4" s="11" t="s">
        <v>20</v>
      </c>
      <c r="B4" s="14">
        <v>0.05588955402374268</v>
      </c>
      <c r="C4" s="65" t="s">
        <v>62</v>
      </c>
      <c r="D4" s="65" t="s">
        <v>62</v>
      </c>
    </row>
    <row r="6" spans="1:4" s="32" customFormat="1" x14ac:dyDescent="0.25">
      <c r="A6" s="21" t="s">
        <v>229</v>
      </c>
      <c r="B6" s="66" t="s">
        <v>230</v>
      </c>
      <c r="C6" s="66" t="s">
        <v>231</v>
      </c>
      <c r="D6" s="66" t="s">
        <v>232</v>
      </c>
    </row>
    <row r="7" spans="1:4" x14ac:dyDescent="0.25">
      <c r="A7" s="11" t="s">
        <v>48</v>
      </c>
      <c r="B7" s="14">
        <v>0.18</v>
      </c>
      <c r="C7" s="14">
        <v>0.3207652173748897</v>
      </c>
      <c r="D7" s="14">
        <v>0.14076521737488973</v>
      </c>
    </row>
    <row r="8" spans="1:4" x14ac:dyDescent="0.25">
      <c r="A8" s="11" t="s">
        <v>46</v>
      </c>
      <c r="B8" s="67">
        <v>0.7</v>
      </c>
      <c r="C8" s="67">
        <v>1.247420289791238</v>
      </c>
      <c r="D8" s="67">
        <v>0.5474202897912381</v>
      </c>
    </row>
    <row r="9" spans="1:4" x14ac:dyDescent="0.25">
      <c r="A9" s="11" t="s">
        <v>40</v>
      </c>
      <c r="B9" s="14">
        <v>0.2</v>
      </c>
      <c r="C9" s="14">
        <v>0.356405797083211</v>
      </c>
      <c r="D9" s="14">
        <v>0.156405797083211</v>
      </c>
    </row>
    <row r="11" spans="1:4" s="17" customFormat="1" x14ac:dyDescent="0.25">
      <c r="A11" s="18" t="s">
        <v>233</v>
      </c>
      <c r="B11" s="68"/>
      <c r="C11" s="68"/>
      <c r="D11" s="68"/>
    </row>
    <row r="12" spans="1:4" s="32" customFormat="1" x14ac:dyDescent="0.25">
      <c r="A12" s="21" t="s">
        <v>234</v>
      </c>
      <c r="B12" s="66" t="s">
        <v>235</v>
      </c>
      <c r="C12" s="69"/>
      <c r="D12" s="69"/>
    </row>
    <row r="13" spans="1:4" x14ac:dyDescent="0.25">
      <c r="A13" s="11" t="s">
        <v>236</v>
      </c>
      <c r="B13" s="70">
        <v>-22.80265019499634</v>
      </c>
      <c r="C13" s="65"/>
      <c r="D13" s="65"/>
    </row>
    <row r="14" spans="1:4" x14ac:dyDescent="0.25">
      <c r="A14" s="11" t="s">
        <v>237</v>
      </c>
      <c r="B14" s="70">
        <v>4.121405355130507</v>
      </c>
      <c r="C14" s="65"/>
      <c r="D14" s="65"/>
    </row>
    <row r="15" spans="1:4" x14ac:dyDescent="0.25">
      <c r="A15" s="11" t="s">
        <v>149</v>
      </c>
      <c r="B15" s="71">
        <v>7.554338851413569</v>
      </c>
      <c r="C15" s="65"/>
      <c r="D15" s="65"/>
    </row>
    <row r="16" spans="1:4" x14ac:dyDescent="0.25">
      <c r="A16" s="11" t="s">
        <v>238</v>
      </c>
      <c r="B16" s="71">
        <v>9.684950164892944</v>
      </c>
      <c r="C16" s="65"/>
      <c r="D16" s="65"/>
    </row>
    <row r="17" spans="1:4" x14ac:dyDescent="0.25">
      <c r="A17" s="11" t="s">
        <v>239</v>
      </c>
      <c r="B17" s="71">
        <v>11.37313297233332</v>
      </c>
      <c r="C17" s="65"/>
      <c r="D17" s="65"/>
    </row>
    <row r="18" spans="1:4" x14ac:dyDescent="0.25">
      <c r="A18" s="11" t="s">
        <v>150</v>
      </c>
      <c r="B18" s="72">
        <v>12.7469649366076</v>
      </c>
      <c r="C18" s="65"/>
      <c r="D18" s="65"/>
    </row>
    <row r="19" spans="1:4" x14ac:dyDescent="0.25">
      <c r="A19" s="11" t="s">
        <v>240</v>
      </c>
      <c r="B19" s="72">
        <v>13.99615385092621</v>
      </c>
      <c r="C19" s="65"/>
      <c r="D19" s="65"/>
    </row>
    <row r="20" spans="1:4" x14ac:dyDescent="0.25">
      <c r="A20" s="11" t="s">
        <v>241</v>
      </c>
      <c r="B20" s="72">
        <v>15.25756089216448</v>
      </c>
      <c r="C20" s="65"/>
      <c r="D20" s="65"/>
    </row>
    <row r="21" spans="1:4" x14ac:dyDescent="0.25">
      <c r="A21" s="11" t="s">
        <v>242</v>
      </c>
      <c r="B21" s="72">
        <v>16.5241258455416</v>
      </c>
      <c r="C21" s="65"/>
      <c r="D21" s="65"/>
    </row>
    <row r="22" spans="1:4" x14ac:dyDescent="0.25">
      <c r="A22" s="11" t="s">
        <v>243</v>
      </c>
      <c r="B22" s="72">
        <v>17.54305222927773</v>
      </c>
      <c r="C22" s="65"/>
      <c r="D22" s="65"/>
    </row>
    <row r="23" spans="1:4" x14ac:dyDescent="0.25">
      <c r="A23" s="11" t="s">
        <v>151</v>
      </c>
      <c r="B23" s="72">
        <v>18.62778596779362</v>
      </c>
      <c r="C23" s="65"/>
      <c r="D23" s="65"/>
    </row>
    <row r="24" spans="1:4" x14ac:dyDescent="0.25">
      <c r="A24" s="11" t="s">
        <v>244</v>
      </c>
      <c r="B24" s="72">
        <v>19.76448007546747</v>
      </c>
      <c r="C24" s="65"/>
      <c r="D24" s="65"/>
    </row>
    <row r="25" spans="1:4" x14ac:dyDescent="0.25">
      <c r="A25" s="11" t="s">
        <v>245</v>
      </c>
      <c r="B25" s="72">
        <v>20.96067583175391</v>
      </c>
      <c r="C25" s="65"/>
      <c r="D25" s="65"/>
    </row>
    <row r="26" spans="1:4" x14ac:dyDescent="0.25">
      <c r="A26" s="11" t="s">
        <v>246</v>
      </c>
      <c r="B26" s="72">
        <v>22.22525001663254</v>
      </c>
      <c r="C26" s="65"/>
      <c r="D26" s="65"/>
    </row>
    <row r="27" spans="1:4" x14ac:dyDescent="0.25">
      <c r="A27" s="11" t="s">
        <v>247</v>
      </c>
      <c r="B27" s="72">
        <v>23.66694706919555</v>
      </c>
      <c r="C27" s="65"/>
      <c r="D27" s="65"/>
    </row>
    <row r="28" spans="1:4" x14ac:dyDescent="0.25">
      <c r="A28" s="11" t="s">
        <v>152</v>
      </c>
      <c r="B28" s="73">
        <v>25.1819433983499</v>
      </c>
      <c r="C28" s="65"/>
      <c r="D28" s="65"/>
    </row>
    <row r="29" spans="1:4" x14ac:dyDescent="0.25">
      <c r="A29" s="11" t="s">
        <v>248</v>
      </c>
      <c r="B29" s="73">
        <v>26.86520140199375</v>
      </c>
      <c r="C29" s="65"/>
      <c r="D29" s="65"/>
    </row>
    <row r="30" spans="1:4" x14ac:dyDescent="0.25">
      <c r="A30" s="11" t="s">
        <v>249</v>
      </c>
      <c r="B30" s="73">
        <v>29.06353305353949</v>
      </c>
      <c r="C30" s="65"/>
      <c r="D30" s="65"/>
    </row>
    <row r="31" spans="1:4" x14ac:dyDescent="0.25">
      <c r="A31" s="11" t="s">
        <v>153</v>
      </c>
      <c r="B31" s="74">
        <v>31.96462138473447</v>
      </c>
      <c r="C31" s="65"/>
      <c r="D31" s="65"/>
    </row>
    <row r="32" spans="1:4" x14ac:dyDescent="0.25">
      <c r="A32" s="11" t="s">
        <v>250</v>
      </c>
      <c r="B32" s="74">
        <v>36.85263493666099</v>
      </c>
      <c r="C32" s="65"/>
      <c r="D32" s="65"/>
    </row>
    <row r="33" spans="1:4" x14ac:dyDescent="0.25">
      <c r="A33" s="11" t="s">
        <v>251</v>
      </c>
      <c r="B33" s="74">
        <v>61.79234589757171</v>
      </c>
      <c r="C33" s="65"/>
      <c r="D33" s="65"/>
    </row>
    <row r="34" spans="1:4" x14ac:dyDescent="0.25">
      <c r="A34" s="75" t="s">
        <v>252</v>
      </c>
      <c r="B34" s="65"/>
      <c r="C34" s="65"/>
      <c r="D34" s="65"/>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owGridLines="0"/>
  </sheetViews>
  <sheetFormatPr defaultRowHeight="15" outlineLevelRow="0" outlineLevelCol="0" x14ac:dyDescent="55"/>
  <cols>
    <col min="1" max="1" width="30" style="6" customWidth="1"/>
    <col min="2" max="2" width="50" style="7" customWidth="1"/>
  </cols>
  <sheetData>
    <row r="1" spans="1:2" s="8" customFormat="1" x14ac:dyDescent="0.25">
      <c r="A1" s="9" t="s">
        <v>9</v>
      </c>
      <c r="B1" s="10"/>
    </row>
    <row r="2" spans="1:2" x14ac:dyDescent="0.25">
      <c r="A2" s="11" t="s">
        <v>10</v>
      </c>
      <c r="B2" s="12"/>
    </row>
    <row r="4" spans="1:2" x14ac:dyDescent="0.25">
      <c r="A4" s="11" t="s">
        <v>11</v>
      </c>
      <c r="B4" s="12" t="s">
        <v>12</v>
      </c>
    </row>
    <row r="5" spans="1:2" x14ac:dyDescent="0.25">
      <c r="A5" s="11" t="s">
        <v>13</v>
      </c>
      <c r="B5" s="12" t="s">
        <v>14</v>
      </c>
    </row>
    <row r="6" spans="1:2" x14ac:dyDescent="0.25">
      <c r="A6" s="11" t="s">
        <v>15</v>
      </c>
      <c r="B6" s="12" t="s">
        <v>16</v>
      </c>
    </row>
    <row r="7" spans="1:2" x14ac:dyDescent="0.25">
      <c r="A7" s="11" t="s">
        <v>17</v>
      </c>
      <c r="B7" s="13">
        <v>112.05</v>
      </c>
    </row>
    <row r="8" spans="1:2" x14ac:dyDescent="0.25">
      <c r="A8" s="11" t="s">
        <v>18</v>
      </c>
      <c r="B8" s="13">
        <v>20.12449434241191</v>
      </c>
    </row>
    <row r="9" spans="1:2" x14ac:dyDescent="0.25">
      <c r="A9" s="11" t="s">
        <v>19</v>
      </c>
      <c r="B9" s="14">
        <v>-0.8203971946237224</v>
      </c>
    </row>
    <row r="10" spans="1:2" x14ac:dyDescent="0.25">
      <c r="A10" s="11" t="s">
        <v>20</v>
      </c>
      <c r="B10" s="14">
        <v>0.05588955402374268</v>
      </c>
    </row>
    <row r="11" spans="1:2" x14ac:dyDescent="0.25">
      <c r="A11" s="11" t="s">
        <v>21</v>
      </c>
      <c r="B11" s="12" t="s">
        <v>22</v>
      </c>
    </row>
    <row r="12" spans="1:2" x14ac:dyDescent="0.25">
      <c r="A12" s="11" t="s">
        <v>23</v>
      </c>
      <c r="B12" s="15">
        <v>46062.09191342593</v>
      </c>
    </row>
    <row r="13" spans="1:2" x14ac:dyDescent="0.25">
      <c r="A13" s="11" t="s">
        <v>24</v>
      </c>
      <c r="B13" s="15">
        <v>45657</v>
      </c>
    </row>
    <row r="14" spans="1:2" x14ac:dyDescent="0.25">
      <c r="A14" s="11" t="s">
        <v>25</v>
      </c>
      <c r="B14" s="12" t="s">
        <v>26</v>
      </c>
    </row>
    <row r="15" spans="1:2" x14ac:dyDescent="0.25">
      <c r="A15" s="11" t="s">
        <v>27</v>
      </c>
      <c r="B15" s="12" t="s">
        <v>28</v>
      </c>
    </row>
    <row r="16" spans="1:2" x14ac:dyDescent="0.25">
      <c r="A16" s="11" t="s">
        <v>29</v>
      </c>
      <c r="B16" s="12" t="s">
        <v>30</v>
      </c>
    </row>
    <row r="17" spans="1:2" x14ac:dyDescent="0.25">
      <c r="A17" s="11" t="s">
        <v>31</v>
      </c>
      <c r="B17" s="12" t="s">
        <v>32</v>
      </c>
    </row>
    <row r="18" spans="1:2" x14ac:dyDescent="0.25">
      <c r="A18" s="11" t="s">
        <v>33</v>
      </c>
      <c r="B18" s="12" t="s">
        <v>34</v>
      </c>
    </row>
    <row r="19" spans="1:2" x14ac:dyDescent="0.25">
      <c r="A19" s="11" t="s">
        <v>35</v>
      </c>
      <c r="B19" s="16">
        <v>146234.621862</v>
      </c>
    </row>
    <row r="20" spans="1:2" x14ac:dyDescent="0.25">
      <c r="A20" s="11" t="s">
        <v>36</v>
      </c>
      <c r="B20" s="16">
        <v>1305.08364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owGridLines="0"/>
  </sheetViews>
  <sheetFormatPr defaultRowHeight="15" outlineLevelRow="0" outlineLevelCol="0" x14ac:dyDescent="55"/>
  <cols>
    <col min="1" max="1" width="30" style="6" customWidth="1"/>
    <col min="2" max="2" width="15" style="7" customWidth="1"/>
    <col min="3" max="3" width="60" style="6" customWidth="1"/>
  </cols>
  <sheetData>
    <row r="1" spans="1:3" s="8" customFormat="1" x14ac:dyDescent="0.25">
      <c r="A1" s="9" t="s">
        <v>37</v>
      </c>
      <c r="B1" s="10"/>
      <c r="C1" s="9"/>
    </row>
    <row r="2" spans="1:3" x14ac:dyDescent="0.25">
      <c r="A2" s="11" t="s">
        <v>10</v>
      </c>
      <c r="B2" s="12"/>
      <c r="C2" s="11"/>
    </row>
    <row r="4" spans="1:3" s="17" customFormat="1" x14ac:dyDescent="0.25">
      <c r="A4" s="18" t="s">
        <v>38</v>
      </c>
      <c r="B4" s="18"/>
      <c r="C4" s="18"/>
    </row>
    <row r="5" spans="1:3" x14ac:dyDescent="0.25">
      <c r="A5" s="11" t="s">
        <v>39</v>
      </c>
      <c r="B5" s="11"/>
      <c r="C5" s="11"/>
    </row>
    <row r="7" spans="1:3" s="17" customFormat="1" x14ac:dyDescent="0.25">
      <c r="A7" s="18" t="s">
        <v>37</v>
      </c>
      <c r="B7" s="18"/>
      <c r="C7" s="18"/>
    </row>
    <row r="8" spans="1:3" x14ac:dyDescent="0.25">
      <c r="A8" s="11" t="s">
        <v>40</v>
      </c>
      <c r="B8" s="19">
        <v>0.2</v>
      </c>
      <c r="C8" s="11" t="s">
        <v>41</v>
      </c>
    </row>
    <row r="9" spans="1:3" x14ac:dyDescent="0.25">
      <c r="A9" s="11" t="s">
        <v>42</v>
      </c>
      <c r="B9" s="19">
        <v>0.035</v>
      </c>
      <c r="C9" s="11" t="s">
        <v>43</v>
      </c>
    </row>
    <row r="10" spans="1:3" x14ac:dyDescent="0.25">
      <c r="A10" s="11" t="s">
        <v>44</v>
      </c>
      <c r="B10" s="20">
        <v>10</v>
      </c>
      <c r="C10" s="11" t="s">
        <v>45</v>
      </c>
    </row>
    <row r="11" spans="1:3" x14ac:dyDescent="0.25">
      <c r="A11" s="11" t="s">
        <v>46</v>
      </c>
      <c r="B11" s="20">
        <v>0.7</v>
      </c>
      <c r="C11" s="11" t="s">
        <v>47</v>
      </c>
    </row>
    <row r="12" spans="1:3" x14ac:dyDescent="0.25">
      <c r="A12" s="11" t="s">
        <v>48</v>
      </c>
      <c r="B12" s="19">
        <v>0.18</v>
      </c>
      <c r="C12" s="11" t="s">
        <v>49</v>
      </c>
    </row>
    <row r="13" spans="1:3" x14ac:dyDescent="0.25">
      <c r="A13" s="11" t="s">
        <v>50</v>
      </c>
      <c r="B13" s="19">
        <v>0.22</v>
      </c>
      <c r="C13" s="11" t="s">
        <v>51</v>
      </c>
    </row>
    <row r="14" spans="1:3" x14ac:dyDescent="0.25">
      <c r="A14" s="11" t="s">
        <v>52</v>
      </c>
      <c r="B14" s="20">
        <v>6</v>
      </c>
      <c r="C14" s="11" t="s">
        <v>53</v>
      </c>
    </row>
    <row r="15" spans="1:3" x14ac:dyDescent="0.25">
      <c r="A15" s="11" t="s">
        <v>54</v>
      </c>
      <c r="B15" s="19">
        <v>0.14</v>
      </c>
      <c r="C15" s="11" t="s">
        <v>55</v>
      </c>
    </row>
    <row r="16" spans="1:3" x14ac:dyDescent="0.25">
      <c r="A16" s="11" t="s">
        <v>56</v>
      </c>
      <c r="B16" s="12" t="s">
        <v>57</v>
      </c>
      <c r="C16" s="11" t="s">
        <v>58</v>
      </c>
    </row>
    <row r="17" spans="1:3" x14ac:dyDescent="0.25">
      <c r="A17" s="11" t="s">
        <v>59</v>
      </c>
      <c r="B17" s="19">
        <v>0.5</v>
      </c>
      <c r="C17" s="11" t="s">
        <v>60</v>
      </c>
    </row>
  </sheetData>
  <mergeCells count="3">
    <mergeCell ref="A4:C4"/>
    <mergeCell ref="A5:C5"/>
    <mergeCell ref="A7:C7"/>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workbookViewId="0" showGridLines="0"/>
  </sheetViews>
  <sheetFormatPr defaultRowHeight="15" outlineLevelRow="0" outlineLevelCol="0" x14ac:dyDescent="55"/>
  <cols>
    <col min="1" max="1" width="30" style="6" customWidth="1"/>
    <col min="2" max="23" width="15" style="7" customWidth="1"/>
  </cols>
  <sheetData>
    <row r="1" spans="1:23" s="8" customFormat="1" x14ac:dyDescent="0.25">
      <c r="A1" s="9" t="s">
        <v>61</v>
      </c>
      <c r="B1" s="10"/>
      <c r="C1" s="10"/>
      <c r="D1" s="10"/>
      <c r="E1" s="10"/>
      <c r="F1" s="10"/>
      <c r="G1" s="10"/>
      <c r="H1" s="10"/>
      <c r="I1" s="10"/>
      <c r="J1" s="10"/>
      <c r="K1" s="10"/>
      <c r="L1" s="10"/>
      <c r="M1" s="10"/>
      <c r="N1" s="10"/>
      <c r="O1" s="10"/>
      <c r="P1" s="10"/>
      <c r="Q1" s="10"/>
      <c r="R1" s="10"/>
      <c r="S1" s="10"/>
      <c r="T1" s="10"/>
      <c r="U1" s="10"/>
      <c r="V1" s="10"/>
      <c r="W1" s="10"/>
    </row>
    <row r="2" spans="1:23" x14ac:dyDescent="0.25">
      <c r="A2" s="11" t="s">
        <v>10</v>
      </c>
      <c r="B2" s="12"/>
      <c r="C2" s="12"/>
      <c r="D2" s="12"/>
      <c r="E2" s="12"/>
      <c r="F2" s="12"/>
      <c r="G2" s="12"/>
      <c r="H2" s="12"/>
      <c r="I2" s="12"/>
      <c r="J2" s="12"/>
      <c r="K2" s="12"/>
      <c r="L2" s="12"/>
      <c r="M2" s="12"/>
      <c r="N2" s="12"/>
      <c r="O2" s="12"/>
      <c r="P2" s="12"/>
      <c r="Q2" s="12"/>
      <c r="R2" s="12"/>
      <c r="S2" s="12"/>
      <c r="T2" s="12"/>
      <c r="U2" s="12"/>
      <c r="V2" s="12"/>
      <c r="W2" s="12"/>
    </row>
    <row r="4" spans="1:23" x14ac:dyDescent="0.25">
      <c r="A4" s="21" t="s">
        <v>62</v>
      </c>
      <c r="B4" s="22" t="s">
        <v>63</v>
      </c>
      <c r="C4" s="23">
        <f>=IF(1&lt;=INDEX(Assumptions!B:B,MATCH("Years to stability",Assumptions!A:A,0)),"FY+1",IF(1=INDEX(Assumptions!B:B,MATCH("Years to stability",Assumptions!A:A,0))+1,"Stability",""))</f>
      </c>
      <c r="D4" s="23">
        <f>=IF(2&lt;=INDEX(Assumptions!B:B,MATCH("Years to stability",Assumptions!A:A,0)),"FY+2",IF(2=INDEX(Assumptions!B:B,MATCH("Years to stability",Assumptions!A:A,0))+1,"Stability",""))</f>
      </c>
      <c r="E4" s="23">
        <f>=IF(3&lt;=INDEX(Assumptions!B:B,MATCH("Years to stability",Assumptions!A:A,0)),"FY+3",IF(3=INDEX(Assumptions!B:B,MATCH("Years to stability",Assumptions!A:A,0))+1,"Stability",""))</f>
      </c>
      <c r="F4" s="23">
        <f>=IF(4&lt;=INDEX(Assumptions!B:B,MATCH("Years to stability",Assumptions!A:A,0)),"FY+4",IF(4=INDEX(Assumptions!B:B,MATCH("Years to stability",Assumptions!A:A,0))+1,"Stability",""))</f>
      </c>
      <c r="G4" s="23">
        <f>=IF(5&lt;=INDEX(Assumptions!B:B,MATCH("Years to stability",Assumptions!A:A,0)),"FY+5",IF(5=INDEX(Assumptions!B:B,MATCH("Years to stability",Assumptions!A:A,0))+1,"Stability",""))</f>
      </c>
      <c r="H4" s="23">
        <f>=IF(6&lt;=INDEX(Assumptions!B:B,MATCH("Years to stability",Assumptions!A:A,0)),"FY+6",IF(6=INDEX(Assumptions!B:B,MATCH("Years to stability",Assumptions!A:A,0))+1,"Stability",""))</f>
      </c>
      <c r="I4" s="23">
        <f>=IF(7&lt;=INDEX(Assumptions!B:B,MATCH("Years to stability",Assumptions!A:A,0)),"FY+7",IF(7=INDEX(Assumptions!B:B,MATCH("Years to stability",Assumptions!A:A,0))+1,"Stability",""))</f>
      </c>
      <c r="J4" s="23">
        <f>=IF(8&lt;=INDEX(Assumptions!B:B,MATCH("Years to stability",Assumptions!A:A,0)),"FY+8",IF(8=INDEX(Assumptions!B:B,MATCH("Years to stability",Assumptions!A:A,0))+1,"Stability",""))</f>
      </c>
      <c r="K4" s="23">
        <f>=IF(9&lt;=INDEX(Assumptions!B:B,MATCH("Years to stability",Assumptions!A:A,0)),"FY+9",IF(9=INDEX(Assumptions!B:B,MATCH("Years to stability",Assumptions!A:A,0))+1,"Stability",""))</f>
      </c>
      <c r="L4" s="23">
        <f>=IF(10&lt;=INDEX(Assumptions!B:B,MATCH("Years to stability",Assumptions!A:A,0)),"FY+10",IF(10=INDEX(Assumptions!B:B,MATCH("Years to stability",Assumptions!A:A,0))+1,"Stability",""))</f>
      </c>
      <c r="M4" s="23">
        <f>=IF(11&lt;=INDEX(Assumptions!B:B,MATCH("Years to stability",Assumptions!A:A,0)),"FY+11",IF(11=INDEX(Assumptions!B:B,MATCH("Years to stability",Assumptions!A:A,0))+1,"Stability",""))</f>
      </c>
      <c r="N4" s="23">
        <f>=IF(12&lt;=INDEX(Assumptions!B:B,MATCH("Years to stability",Assumptions!A:A,0)),"FY+12",IF(12=INDEX(Assumptions!B:B,MATCH("Years to stability",Assumptions!A:A,0))+1,"Stability",""))</f>
      </c>
      <c r="O4" s="23">
        <f>=IF(13&lt;=INDEX(Assumptions!B:B,MATCH("Years to stability",Assumptions!A:A,0)),"FY+13",IF(13=INDEX(Assumptions!B:B,MATCH("Years to stability",Assumptions!A:A,0))+1,"Stability",""))</f>
      </c>
      <c r="P4" s="23">
        <f>=IF(14&lt;=INDEX(Assumptions!B:B,MATCH("Years to stability",Assumptions!A:A,0)),"FY+14",IF(14=INDEX(Assumptions!B:B,MATCH("Years to stability",Assumptions!A:A,0))+1,"Stability",""))</f>
      </c>
      <c r="Q4" s="23">
        <f>=IF(15&lt;=INDEX(Assumptions!B:B,MATCH("Years to stability",Assumptions!A:A,0)),"FY+15",IF(15=INDEX(Assumptions!B:B,MATCH("Years to stability",Assumptions!A:A,0))+1,"Stability",""))</f>
      </c>
      <c r="R4" s="23">
        <f>=IF(16&lt;=INDEX(Assumptions!B:B,MATCH("Years to stability",Assumptions!A:A,0)),"FY+16",IF(16=INDEX(Assumptions!B:B,MATCH("Years to stability",Assumptions!A:A,0))+1,"Stability",""))</f>
      </c>
      <c r="S4" s="23">
        <f>=IF(17&lt;=INDEX(Assumptions!B:B,MATCH("Years to stability",Assumptions!A:A,0)),"FY+17",IF(17=INDEX(Assumptions!B:B,MATCH("Years to stability",Assumptions!A:A,0))+1,"Stability",""))</f>
      </c>
      <c r="T4" s="23">
        <f>=IF(18&lt;=INDEX(Assumptions!B:B,MATCH("Years to stability",Assumptions!A:A,0)),"FY+18",IF(18=INDEX(Assumptions!B:B,MATCH("Years to stability",Assumptions!A:A,0))+1,"Stability",""))</f>
      </c>
      <c r="U4" s="23">
        <f>=IF(19&lt;=INDEX(Assumptions!B:B,MATCH("Years to stability",Assumptions!A:A,0)),"FY+19",IF(19=INDEX(Assumptions!B:B,MATCH("Years to stability",Assumptions!A:A,0))+1,"Stability",""))</f>
      </c>
      <c r="V4" s="23">
        <f>=IF(20&lt;=INDEX(Assumptions!B:B,MATCH("Years to stability",Assumptions!A:A,0)),"FY+20",IF(20=INDEX(Assumptions!B:B,MATCH("Years to stability",Assumptions!A:A,0))+1,"Stability",""))</f>
      </c>
      <c r="W4" s="23">
        <f>=IF(21&lt;=INDEX(Assumptions!B:B,MATCH("Years to stability",Assumptions!A:A,0)),"FY+21",IF(21=INDEX(Assumptions!B:B,MATCH("Years to stability",Assumptions!A:A,0))+1,"Stability",""))</f>
      </c>
    </row>
    <row r="5" spans="1:23" x14ac:dyDescent="0.25">
      <c r="A5" s="11" t="s">
        <v>64</v>
      </c>
      <c r="B5" s="24">
        <f>=INDEX(Financials!B:B,MATCH("Revenue",Financials!A:A,0))</f>
      </c>
      <c r="C5" s="24">
        <f>=IF(1&lt;=INDEX(Assumptions!B:B,MATCH("Years to stability",Assumptions!A:A,0))+1,B5*(1+C6),"")</f>
      </c>
      <c r="D5" s="24">
        <f>=IF(2&lt;=INDEX(Assumptions!B:B,MATCH("Years to stability",Assumptions!A:A,0))+1,C5*(1+D6),"")</f>
      </c>
      <c r="E5" s="24">
        <f>=IF(3&lt;=INDEX(Assumptions!B:B,MATCH("Years to stability",Assumptions!A:A,0))+1,D5*(1+E6),"")</f>
      </c>
      <c r="F5" s="24">
        <f>=IF(4&lt;=INDEX(Assumptions!B:B,MATCH("Years to stability",Assumptions!A:A,0))+1,E5*(1+F6),"")</f>
      </c>
      <c r="G5" s="24">
        <f>=IF(5&lt;=INDEX(Assumptions!B:B,MATCH("Years to stability",Assumptions!A:A,0))+1,F5*(1+G6),"")</f>
      </c>
      <c r="H5" s="24">
        <f>=IF(6&lt;=INDEX(Assumptions!B:B,MATCH("Years to stability",Assumptions!A:A,0))+1,G5*(1+H6),"")</f>
      </c>
      <c r="I5" s="24">
        <f>=IF(7&lt;=INDEX(Assumptions!B:B,MATCH("Years to stability",Assumptions!A:A,0))+1,H5*(1+I6),"")</f>
      </c>
      <c r="J5" s="24">
        <f>=IF(8&lt;=INDEX(Assumptions!B:B,MATCH("Years to stability",Assumptions!A:A,0))+1,I5*(1+J6),"")</f>
      </c>
      <c r="K5" s="24">
        <f>=IF(9&lt;=INDEX(Assumptions!B:B,MATCH("Years to stability",Assumptions!A:A,0))+1,J5*(1+K6),"")</f>
      </c>
      <c r="L5" s="24">
        <f>=IF(10&lt;=INDEX(Assumptions!B:B,MATCH("Years to stability",Assumptions!A:A,0))+1,K5*(1+L6),"")</f>
      </c>
      <c r="M5" s="24">
        <f>=IF(11&lt;=INDEX(Assumptions!B:B,MATCH("Years to stability",Assumptions!A:A,0))+1,L5*(1+M6),"")</f>
      </c>
      <c r="N5" s="24">
        <f>=IF(12&lt;=INDEX(Assumptions!B:B,MATCH("Years to stability",Assumptions!A:A,0))+1,M5*(1+N6),"")</f>
      </c>
      <c r="O5" s="24">
        <f>=IF(13&lt;=INDEX(Assumptions!B:B,MATCH("Years to stability",Assumptions!A:A,0))+1,N5*(1+O6),"")</f>
      </c>
      <c r="P5" s="24">
        <f>=IF(14&lt;=INDEX(Assumptions!B:B,MATCH("Years to stability",Assumptions!A:A,0))+1,O5*(1+P6),"")</f>
      </c>
      <c r="Q5" s="24">
        <f>=IF(15&lt;=INDEX(Assumptions!B:B,MATCH("Years to stability",Assumptions!A:A,0))+1,P5*(1+Q6),"")</f>
      </c>
      <c r="R5" s="24">
        <f>=IF(16&lt;=INDEX(Assumptions!B:B,MATCH("Years to stability",Assumptions!A:A,0))+1,Q5*(1+R6),"")</f>
      </c>
      <c r="S5" s="24">
        <f>=IF(17&lt;=INDEX(Assumptions!B:B,MATCH("Years to stability",Assumptions!A:A,0))+1,R5*(1+S6),"")</f>
      </c>
      <c r="T5" s="24">
        <f>=IF(18&lt;=INDEX(Assumptions!B:B,MATCH("Years to stability",Assumptions!A:A,0))+1,S5*(1+T6),"")</f>
      </c>
      <c r="U5" s="24">
        <f>=IF(19&lt;=INDEX(Assumptions!B:B,MATCH("Years to stability",Assumptions!A:A,0))+1,T5*(1+U6),"")</f>
      </c>
      <c r="V5" s="24">
        <f>=IF(20&lt;=INDEX(Assumptions!B:B,MATCH("Years to stability",Assumptions!A:A,0))+1,U5*(1+V6),"")</f>
      </c>
      <c r="W5" s="24">
        <f>=IF(21&lt;=INDEX(Assumptions!B:B,MATCH("Years to stability",Assumptions!A:A,0))+1,V5*(1+W6),"")</f>
      </c>
    </row>
    <row r="6" spans="1:23" x14ac:dyDescent="0.25">
      <c r="A6" s="11" t="s">
        <v>65</v>
      </c>
      <c r="B6" s="25">
        <f>=INDEX(Financials!B:B,MATCH("YoY Growth",Financials!A:A,0))</f>
      </c>
      <c r="C6" s="25">
        <f>=IF(1&gt;INDEX(Assumptions!B:B,MATCH("Years to stability",Assumptions!A:A,0))+1,"",IF(1=INDEX(Assumptions!B:B,MATCH("Years to stability",Assumptions!A:A,0))+1,INDEX(Assumptions!B:B,MATCH("Stable growth rate",Assumptions!A:A,0)),IF(INDEX(Assumptions!B:B,MATCH("Years to stability",Assumptions!A:A,0))=1,INDEX(Assumptions!B:B,MATCH("Revenue growth rate",Assumptions!A:A,0)),IF(1&lt;=INT(INDEX(Assumptions!B:B,MATCH("Years to stability",Assumptions!A:A,0))/2),INDEX(Assumptions!B:B,MATCH("Revenue growth rate",Assumptions!A:A,0)),INDEX(Assumptions!B:B,MATCH("Revenue growth rate",Assumptions!A:A,0))+(((1-INT(INDEX(Assumptions!B:B,MATCH("Years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D6" s="25">
        <f>=IF(2&gt;INDEX(Assumptions!B:B,MATCH("Years to stability",Assumptions!A:A,0))+1,"",IF(2=INDEX(Assumptions!B:B,MATCH("Years to stability",Assumptions!A:A,0))+1,INDEX(Assumptions!B:B,MATCH("Stable growth rate",Assumptions!A:A,0)),IF(INDEX(Assumptions!B:B,MATCH("Years to stability",Assumptions!A:A,0))=1,INDEX(Assumptions!B:B,MATCH("Revenue growth rate",Assumptions!A:A,0)),IF(2&lt;=INT(INDEX(Assumptions!B:B,MATCH("Years to stability",Assumptions!A:A,0))/2),INDEX(Assumptions!B:B,MATCH("Revenue growth rate",Assumptions!A:A,0)),INDEX(Assumptions!B:B,MATCH("Revenue growth rate",Assumptions!A:A,0))+(((2-INT(INDEX(Assumptions!B:B,MATCH("Years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E6" s="25">
        <f>=IF(3&gt;INDEX(Assumptions!B:B,MATCH("Years to stability",Assumptions!A:A,0))+1,"",IF(3=INDEX(Assumptions!B:B,MATCH("Years to stability",Assumptions!A:A,0))+1,INDEX(Assumptions!B:B,MATCH("Stable growth rate",Assumptions!A:A,0)),IF(INDEX(Assumptions!B:B,MATCH("Years to stability",Assumptions!A:A,0))=1,INDEX(Assumptions!B:B,MATCH("Revenue growth rate",Assumptions!A:A,0)),IF(3&lt;=INT(INDEX(Assumptions!B:B,MATCH("Years to stability",Assumptions!A:A,0))/2),INDEX(Assumptions!B:B,MATCH("Revenue growth rate",Assumptions!A:A,0)),INDEX(Assumptions!B:B,MATCH("Revenue growth rate",Assumptions!A:A,0))+(((3-INT(INDEX(Assumptions!B:B,MATCH("Years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F6" s="25">
        <f>=IF(4&gt;INDEX(Assumptions!B:B,MATCH("Years to stability",Assumptions!A:A,0))+1,"",IF(4=INDEX(Assumptions!B:B,MATCH("Years to stability",Assumptions!A:A,0))+1,INDEX(Assumptions!B:B,MATCH("Stable growth rate",Assumptions!A:A,0)),IF(INDEX(Assumptions!B:B,MATCH("Years to stability",Assumptions!A:A,0))=1,INDEX(Assumptions!B:B,MATCH("Revenue growth rate",Assumptions!A:A,0)),IF(4&lt;=INT(INDEX(Assumptions!B:B,MATCH("Years to stability",Assumptions!A:A,0))/2),INDEX(Assumptions!B:B,MATCH("Revenue growth rate",Assumptions!A:A,0)),INDEX(Assumptions!B:B,MATCH("Revenue growth rate",Assumptions!A:A,0))+(((4-INT(INDEX(Assumptions!B:B,MATCH("Years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G6" s="25">
        <f>=IF(5&gt;INDEX(Assumptions!B:B,MATCH("Years to stability",Assumptions!A:A,0))+1,"",IF(5=INDEX(Assumptions!B:B,MATCH("Years to stability",Assumptions!A:A,0))+1,INDEX(Assumptions!B:B,MATCH("Stable growth rate",Assumptions!A:A,0)),IF(INDEX(Assumptions!B:B,MATCH("Years to stability",Assumptions!A:A,0))=1,INDEX(Assumptions!B:B,MATCH("Revenue growth rate",Assumptions!A:A,0)),IF(5&lt;=INT(INDEX(Assumptions!B:B,MATCH("Years to stability",Assumptions!A:A,0))/2),INDEX(Assumptions!B:B,MATCH("Revenue growth rate",Assumptions!A:A,0)),INDEX(Assumptions!B:B,MATCH("Revenue growth rate",Assumptions!A:A,0))+(((5-INT(INDEX(Assumptions!B:B,MATCH("Years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H6" s="25">
        <f>=IF(6&gt;INDEX(Assumptions!B:B,MATCH("Years to stability",Assumptions!A:A,0))+1,"",IF(6=INDEX(Assumptions!B:B,MATCH("Years to stability",Assumptions!A:A,0))+1,INDEX(Assumptions!B:B,MATCH("Stable growth rate",Assumptions!A:A,0)),IF(INDEX(Assumptions!B:B,MATCH("Years to stability",Assumptions!A:A,0))=1,INDEX(Assumptions!B:B,MATCH("Revenue growth rate",Assumptions!A:A,0)),IF(6&lt;=INT(INDEX(Assumptions!B:B,MATCH("Years to stability",Assumptions!A:A,0))/2),INDEX(Assumptions!B:B,MATCH("Revenue growth rate",Assumptions!A:A,0)),INDEX(Assumptions!B:B,MATCH("Revenue growth rate",Assumptions!A:A,0))+(((6-INT(INDEX(Assumptions!B:B,MATCH("Years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I6" s="25">
        <f>=IF(7&gt;INDEX(Assumptions!B:B,MATCH("Years to stability",Assumptions!A:A,0))+1,"",IF(7=INDEX(Assumptions!B:B,MATCH("Years to stability",Assumptions!A:A,0))+1,INDEX(Assumptions!B:B,MATCH("Stable growth rate",Assumptions!A:A,0)),IF(INDEX(Assumptions!B:B,MATCH("Years to stability",Assumptions!A:A,0))=1,INDEX(Assumptions!B:B,MATCH("Revenue growth rate",Assumptions!A:A,0)),IF(7&lt;=INT(INDEX(Assumptions!B:B,MATCH("Years to stability",Assumptions!A:A,0))/2),INDEX(Assumptions!B:B,MATCH("Revenue growth rate",Assumptions!A:A,0)),INDEX(Assumptions!B:B,MATCH("Revenue growth rate",Assumptions!A:A,0))+(((7-INT(INDEX(Assumptions!B:B,MATCH("Years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J6" s="25">
        <f>=IF(8&gt;INDEX(Assumptions!B:B,MATCH("Years to stability",Assumptions!A:A,0))+1,"",IF(8=INDEX(Assumptions!B:B,MATCH("Years to stability",Assumptions!A:A,0))+1,INDEX(Assumptions!B:B,MATCH("Stable growth rate",Assumptions!A:A,0)),IF(INDEX(Assumptions!B:B,MATCH("Years to stability",Assumptions!A:A,0))=1,INDEX(Assumptions!B:B,MATCH("Revenue growth rate",Assumptions!A:A,0)),IF(8&lt;=INT(INDEX(Assumptions!B:B,MATCH("Years to stability",Assumptions!A:A,0))/2),INDEX(Assumptions!B:B,MATCH("Revenue growth rate",Assumptions!A:A,0)),INDEX(Assumptions!B:B,MATCH("Revenue growth rate",Assumptions!A:A,0))+(((8-INT(INDEX(Assumptions!B:B,MATCH("Years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K6" s="25">
        <f>=IF(9&gt;INDEX(Assumptions!B:B,MATCH("Years to stability",Assumptions!A:A,0))+1,"",IF(9=INDEX(Assumptions!B:B,MATCH("Years to stability",Assumptions!A:A,0))+1,INDEX(Assumptions!B:B,MATCH("Stable growth rate",Assumptions!A:A,0)),IF(INDEX(Assumptions!B:B,MATCH("Years to stability",Assumptions!A:A,0))=1,INDEX(Assumptions!B:B,MATCH("Revenue growth rate",Assumptions!A:A,0)),IF(9&lt;=INT(INDEX(Assumptions!B:B,MATCH("Years to stability",Assumptions!A:A,0))/2),INDEX(Assumptions!B:B,MATCH("Revenue growth rate",Assumptions!A:A,0)),INDEX(Assumptions!B:B,MATCH("Revenue growth rate",Assumptions!A:A,0))+(((9-INT(INDEX(Assumptions!B:B,MATCH("Years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L6" s="25">
        <f>=IF(10&gt;INDEX(Assumptions!B:B,MATCH("Years to stability",Assumptions!A:A,0))+1,"",IF(10=INDEX(Assumptions!B:B,MATCH("Years to stability",Assumptions!A:A,0))+1,INDEX(Assumptions!B:B,MATCH("Stable growth rate",Assumptions!A:A,0)),IF(INDEX(Assumptions!B:B,MATCH("Years to stability",Assumptions!A:A,0))=1,INDEX(Assumptions!B:B,MATCH("Revenue growth rate",Assumptions!A:A,0)),IF(10&lt;=INT(INDEX(Assumptions!B:B,MATCH("Years to stability",Assumptions!A:A,0))/2),INDEX(Assumptions!B:B,MATCH("Revenue growth rate",Assumptions!A:A,0)),INDEX(Assumptions!B:B,MATCH("Revenue growth rate",Assumptions!A:A,0))+(((10-INT(INDEX(Assumptions!B:B,MATCH("Years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M6" s="25">
        <f>=IF(11&gt;INDEX(Assumptions!B:B,MATCH("Years to stability",Assumptions!A:A,0))+1,"",IF(11=INDEX(Assumptions!B:B,MATCH("Years to stability",Assumptions!A:A,0))+1,INDEX(Assumptions!B:B,MATCH("Stable growth rate",Assumptions!A:A,0)),IF(INDEX(Assumptions!B:B,MATCH("Years to stability",Assumptions!A:A,0))=1,INDEX(Assumptions!B:B,MATCH("Revenue growth rate",Assumptions!A:A,0)),IF(11&lt;=INT(INDEX(Assumptions!B:B,MATCH("Years to stability",Assumptions!A:A,0))/2),INDEX(Assumptions!B:B,MATCH("Revenue growth rate",Assumptions!A:A,0)),INDEX(Assumptions!B:B,MATCH("Revenue growth rate",Assumptions!A:A,0))+(((11-INT(INDEX(Assumptions!B:B,MATCH("Years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N6" s="25">
        <f>=IF(12&gt;INDEX(Assumptions!B:B,MATCH("Years to stability",Assumptions!A:A,0))+1,"",IF(12=INDEX(Assumptions!B:B,MATCH("Years to stability",Assumptions!A:A,0))+1,INDEX(Assumptions!B:B,MATCH("Stable growth rate",Assumptions!A:A,0)),IF(INDEX(Assumptions!B:B,MATCH("Years to stability",Assumptions!A:A,0))=1,INDEX(Assumptions!B:B,MATCH("Revenue growth rate",Assumptions!A:A,0)),IF(12&lt;=INT(INDEX(Assumptions!B:B,MATCH("Years to stability",Assumptions!A:A,0))/2),INDEX(Assumptions!B:B,MATCH("Revenue growth rate",Assumptions!A:A,0)),INDEX(Assumptions!B:B,MATCH("Revenue growth rate",Assumptions!A:A,0))+(((12-INT(INDEX(Assumptions!B:B,MATCH("Years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O6" s="25">
        <f>=IF(13&gt;INDEX(Assumptions!B:B,MATCH("Years to stability",Assumptions!A:A,0))+1,"",IF(13=INDEX(Assumptions!B:B,MATCH("Years to stability",Assumptions!A:A,0))+1,INDEX(Assumptions!B:B,MATCH("Stable growth rate",Assumptions!A:A,0)),IF(INDEX(Assumptions!B:B,MATCH("Years to stability",Assumptions!A:A,0))=1,INDEX(Assumptions!B:B,MATCH("Revenue growth rate",Assumptions!A:A,0)),IF(13&lt;=INT(INDEX(Assumptions!B:B,MATCH("Years to stability",Assumptions!A:A,0))/2),INDEX(Assumptions!B:B,MATCH("Revenue growth rate",Assumptions!A:A,0)),INDEX(Assumptions!B:B,MATCH("Revenue growth rate",Assumptions!A:A,0))+(((13-INT(INDEX(Assumptions!B:B,MATCH("Years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P6" s="25">
        <f>=IF(14&gt;INDEX(Assumptions!B:B,MATCH("Years to stability",Assumptions!A:A,0))+1,"",IF(14=INDEX(Assumptions!B:B,MATCH("Years to stability",Assumptions!A:A,0))+1,INDEX(Assumptions!B:B,MATCH("Stable growth rate",Assumptions!A:A,0)),IF(INDEX(Assumptions!B:B,MATCH("Years to stability",Assumptions!A:A,0))=1,INDEX(Assumptions!B:B,MATCH("Revenue growth rate",Assumptions!A:A,0)),IF(14&lt;=INT(INDEX(Assumptions!B:B,MATCH("Years to stability",Assumptions!A:A,0))/2),INDEX(Assumptions!B:B,MATCH("Revenue growth rate",Assumptions!A:A,0)),INDEX(Assumptions!B:B,MATCH("Revenue growth rate",Assumptions!A:A,0))+(((14-INT(INDEX(Assumptions!B:B,MATCH("Years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Q6" s="25">
        <f>=IF(15&gt;INDEX(Assumptions!B:B,MATCH("Years to stability",Assumptions!A:A,0))+1,"",IF(15=INDEX(Assumptions!B:B,MATCH("Years to stability",Assumptions!A:A,0))+1,INDEX(Assumptions!B:B,MATCH("Stable growth rate",Assumptions!A:A,0)),IF(INDEX(Assumptions!B:B,MATCH("Years to stability",Assumptions!A:A,0))=1,INDEX(Assumptions!B:B,MATCH("Revenue growth rate",Assumptions!A:A,0)),IF(15&lt;=INT(INDEX(Assumptions!B:B,MATCH("Years to stability",Assumptions!A:A,0))/2),INDEX(Assumptions!B:B,MATCH("Revenue growth rate",Assumptions!A:A,0)),INDEX(Assumptions!B:B,MATCH("Revenue growth rate",Assumptions!A:A,0))+(((15-INT(INDEX(Assumptions!B:B,MATCH("Years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R6" s="25">
        <f>=IF(16&gt;INDEX(Assumptions!B:B,MATCH("Years to stability",Assumptions!A:A,0))+1,"",IF(16=INDEX(Assumptions!B:B,MATCH("Years to stability",Assumptions!A:A,0))+1,INDEX(Assumptions!B:B,MATCH("Stable growth rate",Assumptions!A:A,0)),IF(INDEX(Assumptions!B:B,MATCH("Years to stability",Assumptions!A:A,0))=1,INDEX(Assumptions!B:B,MATCH("Revenue growth rate",Assumptions!A:A,0)),IF(16&lt;=INT(INDEX(Assumptions!B:B,MATCH("Years to stability",Assumptions!A:A,0))/2),INDEX(Assumptions!B:B,MATCH("Revenue growth rate",Assumptions!A:A,0)),INDEX(Assumptions!B:B,MATCH("Revenue growth rate",Assumptions!A:A,0))+(((16-INT(INDEX(Assumptions!B:B,MATCH("Years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S6" s="25">
        <f>=IF(17&gt;INDEX(Assumptions!B:B,MATCH("Years to stability",Assumptions!A:A,0))+1,"",IF(17=INDEX(Assumptions!B:B,MATCH("Years to stability",Assumptions!A:A,0))+1,INDEX(Assumptions!B:B,MATCH("Stable growth rate",Assumptions!A:A,0)),IF(INDEX(Assumptions!B:B,MATCH("Years to stability",Assumptions!A:A,0))=1,INDEX(Assumptions!B:B,MATCH("Revenue growth rate",Assumptions!A:A,0)),IF(17&lt;=INT(INDEX(Assumptions!B:B,MATCH("Years to stability",Assumptions!A:A,0))/2),INDEX(Assumptions!B:B,MATCH("Revenue growth rate",Assumptions!A:A,0)),INDEX(Assumptions!B:B,MATCH("Revenue growth rate",Assumptions!A:A,0))+(((17-INT(INDEX(Assumptions!B:B,MATCH("Years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T6" s="25">
        <f>=IF(18&gt;INDEX(Assumptions!B:B,MATCH("Years to stability",Assumptions!A:A,0))+1,"",IF(18=INDEX(Assumptions!B:B,MATCH("Years to stability",Assumptions!A:A,0))+1,INDEX(Assumptions!B:B,MATCH("Stable growth rate",Assumptions!A:A,0)),IF(INDEX(Assumptions!B:B,MATCH("Years to stability",Assumptions!A:A,0))=1,INDEX(Assumptions!B:B,MATCH("Revenue growth rate",Assumptions!A:A,0)),IF(18&lt;=INT(INDEX(Assumptions!B:B,MATCH("Years to stability",Assumptions!A:A,0))/2),INDEX(Assumptions!B:B,MATCH("Revenue growth rate",Assumptions!A:A,0)),INDEX(Assumptions!B:B,MATCH("Revenue growth rate",Assumptions!A:A,0))+(((18-INT(INDEX(Assumptions!B:B,MATCH("Years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U6" s="25">
        <f>=IF(19&gt;INDEX(Assumptions!B:B,MATCH("Years to stability",Assumptions!A:A,0))+1,"",IF(19=INDEX(Assumptions!B:B,MATCH("Years to stability",Assumptions!A:A,0))+1,INDEX(Assumptions!B:B,MATCH("Stable growth rate",Assumptions!A:A,0)),IF(INDEX(Assumptions!B:B,MATCH("Years to stability",Assumptions!A:A,0))=1,INDEX(Assumptions!B:B,MATCH("Revenue growth rate",Assumptions!A:A,0)),IF(19&lt;=INT(INDEX(Assumptions!B:B,MATCH("Years to stability",Assumptions!A:A,0))/2),INDEX(Assumptions!B:B,MATCH("Revenue growth rate",Assumptions!A:A,0)),INDEX(Assumptions!B:B,MATCH("Revenue growth rate",Assumptions!A:A,0))+(((19-INT(INDEX(Assumptions!B:B,MATCH("Years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V6" s="25">
        <f>=IF(20&gt;INDEX(Assumptions!B:B,MATCH("Years to stability",Assumptions!A:A,0))+1,"",IF(20=INDEX(Assumptions!B:B,MATCH("Years to stability",Assumptions!A:A,0))+1,INDEX(Assumptions!B:B,MATCH("Stable growth rate",Assumptions!A:A,0)),IF(INDEX(Assumptions!B:B,MATCH("Years to stability",Assumptions!A:A,0))=1,INDEX(Assumptions!B:B,MATCH("Revenue growth rate",Assumptions!A:A,0)),IF(20&lt;=INT(INDEX(Assumptions!B:B,MATCH("Years to stability",Assumptions!A:A,0))/2),INDEX(Assumptions!B:B,MATCH("Revenue growth rate",Assumptions!A:A,0)),INDEX(Assumptions!B:B,MATCH("Revenue growth rate",Assumptions!A:A,0))+(((20-INT(INDEX(Assumptions!B:B,MATCH("Years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W6" s="25">
        <f>=IF(21&gt;INDEX(Assumptions!B:B,MATCH("Years to stability",Assumptions!A:A,0))+1,"",IF(21=INDEX(Assumptions!B:B,MATCH("Years to stability",Assumptions!A:A,0))+1,INDEX(Assumptions!B:B,MATCH("Stable growth rate",Assumptions!A:A,0)),IF(INDEX(Assumptions!B:B,MATCH("Years to stability",Assumptions!A:A,0))=1,INDEX(Assumptions!B:B,MATCH("Revenue growth rate",Assumptions!A:A,0)),IF(21&lt;=INT(INDEX(Assumptions!B:B,MATCH("Years to stability",Assumptions!A:A,0))/2),INDEX(Assumptions!B:B,MATCH("Revenue growth rate",Assumptions!A:A,0)),INDEX(Assumptions!B:B,MATCH("Revenue growth rate",Assumptions!A:A,0))+(((21-INT(INDEX(Assumptions!B:B,MATCH("Years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row>
    <row r="7" spans="1:23" x14ac:dyDescent="0.25">
      <c r="A7" s="11" t="s">
        <v>66</v>
      </c>
      <c r="B7" s="24">
        <f>=B5-B8</f>
      </c>
      <c r="C7" s="24">
        <f>=IF(1&lt;=INDEX(Assumptions!B:B,MATCH("Years to stability",Assumptions!A:A,0))+1,C5-C8,"")</f>
      </c>
      <c r="D7" s="24">
        <f>=IF(2&lt;=INDEX(Assumptions!B:B,MATCH("Years to stability",Assumptions!A:A,0))+1,D5-D8,"")</f>
      </c>
      <c r="E7" s="24">
        <f>=IF(3&lt;=INDEX(Assumptions!B:B,MATCH("Years to stability",Assumptions!A:A,0))+1,E5-E8,"")</f>
      </c>
      <c r="F7" s="24">
        <f>=IF(4&lt;=INDEX(Assumptions!B:B,MATCH("Years to stability",Assumptions!A:A,0))+1,F5-F8,"")</f>
      </c>
      <c r="G7" s="24">
        <f>=IF(5&lt;=INDEX(Assumptions!B:B,MATCH("Years to stability",Assumptions!A:A,0))+1,G5-G8,"")</f>
      </c>
      <c r="H7" s="24">
        <f>=IF(6&lt;=INDEX(Assumptions!B:B,MATCH("Years to stability",Assumptions!A:A,0))+1,H5-H8,"")</f>
      </c>
      <c r="I7" s="24">
        <f>=IF(7&lt;=INDEX(Assumptions!B:B,MATCH("Years to stability",Assumptions!A:A,0))+1,I5-I8,"")</f>
      </c>
      <c r="J7" s="24">
        <f>=IF(8&lt;=INDEX(Assumptions!B:B,MATCH("Years to stability",Assumptions!A:A,0))+1,J5-J8,"")</f>
      </c>
      <c r="K7" s="24">
        <f>=IF(9&lt;=INDEX(Assumptions!B:B,MATCH("Years to stability",Assumptions!A:A,0))+1,K5-K8,"")</f>
      </c>
      <c r="L7" s="24">
        <f>=IF(10&lt;=INDEX(Assumptions!B:B,MATCH("Years to stability",Assumptions!A:A,0))+1,L5-L8,"")</f>
      </c>
      <c r="M7" s="24">
        <f>=IF(11&lt;=INDEX(Assumptions!B:B,MATCH("Years to stability",Assumptions!A:A,0))+1,M5-M8,"")</f>
      </c>
      <c r="N7" s="24">
        <f>=IF(12&lt;=INDEX(Assumptions!B:B,MATCH("Years to stability",Assumptions!A:A,0))+1,N5-N8,"")</f>
      </c>
      <c r="O7" s="24">
        <f>=IF(13&lt;=INDEX(Assumptions!B:B,MATCH("Years to stability",Assumptions!A:A,0))+1,O5-O8,"")</f>
      </c>
      <c r="P7" s="24">
        <f>=IF(14&lt;=INDEX(Assumptions!B:B,MATCH("Years to stability",Assumptions!A:A,0))+1,P5-P8,"")</f>
      </c>
      <c r="Q7" s="24">
        <f>=IF(15&lt;=INDEX(Assumptions!B:B,MATCH("Years to stability",Assumptions!A:A,0))+1,Q5-Q8,"")</f>
      </c>
      <c r="R7" s="24">
        <f>=IF(16&lt;=INDEX(Assumptions!B:B,MATCH("Years to stability",Assumptions!A:A,0))+1,R5-R8,"")</f>
      </c>
      <c r="S7" s="24">
        <f>=IF(17&lt;=INDEX(Assumptions!B:B,MATCH("Years to stability",Assumptions!A:A,0))+1,S5-S8,"")</f>
      </c>
      <c r="T7" s="24">
        <f>=IF(18&lt;=INDEX(Assumptions!B:B,MATCH("Years to stability",Assumptions!A:A,0))+1,T5-T8,"")</f>
      </c>
      <c r="U7" s="24">
        <f>=IF(19&lt;=INDEX(Assumptions!B:B,MATCH("Years to stability",Assumptions!A:A,0))+1,U5-U8,"")</f>
      </c>
      <c r="V7" s="24">
        <f>=IF(20&lt;=INDEX(Assumptions!B:B,MATCH("Years to stability",Assumptions!A:A,0))+1,V5-V8,"")</f>
      </c>
      <c r="W7" s="24">
        <f>=IF(21&lt;=INDEX(Assumptions!B:B,MATCH("Years to stability",Assumptions!A:A,0))+1,W5-W8,"")</f>
      </c>
    </row>
    <row r="8" spans="1:23" x14ac:dyDescent="0.25">
      <c r="A8" s="11" t="s">
        <v>67</v>
      </c>
      <c r="B8" s="24">
        <f>=INDEX(Financials!B:B,MATCH("Adjusted Net Profit",Financials!A:A,0))</f>
      </c>
      <c r="C8" s="24">
        <f>=IF(1&lt;=INDEX(Assumptions!B:B,MATCH("Years to stability",Assumptions!A:A,0))+1,C5*C9,"")</f>
      </c>
      <c r="D8" s="24">
        <f>=IF(2&lt;=INDEX(Assumptions!B:B,MATCH("Years to stability",Assumptions!A:A,0))+1,D5*D9,"")</f>
      </c>
      <c r="E8" s="24">
        <f>=IF(3&lt;=INDEX(Assumptions!B:B,MATCH("Years to stability",Assumptions!A:A,0))+1,E5*E9,"")</f>
      </c>
      <c r="F8" s="24">
        <f>=IF(4&lt;=INDEX(Assumptions!B:B,MATCH("Years to stability",Assumptions!A:A,0))+1,F5*F9,"")</f>
      </c>
      <c r="G8" s="24">
        <f>=IF(5&lt;=INDEX(Assumptions!B:B,MATCH("Years to stability",Assumptions!A:A,0))+1,G5*G9,"")</f>
      </c>
      <c r="H8" s="24">
        <f>=IF(6&lt;=INDEX(Assumptions!B:B,MATCH("Years to stability",Assumptions!A:A,0))+1,H5*H9,"")</f>
      </c>
      <c r="I8" s="24">
        <f>=IF(7&lt;=INDEX(Assumptions!B:B,MATCH("Years to stability",Assumptions!A:A,0))+1,I5*I9,"")</f>
      </c>
      <c r="J8" s="24">
        <f>=IF(8&lt;=INDEX(Assumptions!B:B,MATCH("Years to stability",Assumptions!A:A,0))+1,J5*J9,"")</f>
      </c>
      <c r="K8" s="24">
        <f>=IF(9&lt;=INDEX(Assumptions!B:B,MATCH("Years to stability",Assumptions!A:A,0))+1,K5*K9,"")</f>
      </c>
      <c r="L8" s="24">
        <f>=IF(10&lt;=INDEX(Assumptions!B:B,MATCH("Years to stability",Assumptions!A:A,0))+1,L5*L9,"")</f>
      </c>
      <c r="M8" s="24">
        <f>=IF(11&lt;=INDEX(Assumptions!B:B,MATCH("Years to stability",Assumptions!A:A,0))+1,M5*M9,"")</f>
      </c>
      <c r="N8" s="24">
        <f>=IF(12&lt;=INDEX(Assumptions!B:B,MATCH("Years to stability",Assumptions!A:A,0))+1,N5*N9,"")</f>
      </c>
      <c r="O8" s="24">
        <f>=IF(13&lt;=INDEX(Assumptions!B:B,MATCH("Years to stability",Assumptions!A:A,0))+1,O5*O9,"")</f>
      </c>
      <c r="P8" s="24">
        <f>=IF(14&lt;=INDEX(Assumptions!B:B,MATCH("Years to stability",Assumptions!A:A,0))+1,P5*P9,"")</f>
      </c>
      <c r="Q8" s="24">
        <f>=IF(15&lt;=INDEX(Assumptions!B:B,MATCH("Years to stability",Assumptions!A:A,0))+1,Q5*Q9,"")</f>
      </c>
      <c r="R8" s="24">
        <f>=IF(16&lt;=INDEX(Assumptions!B:B,MATCH("Years to stability",Assumptions!A:A,0))+1,R5*R9,"")</f>
      </c>
      <c r="S8" s="24">
        <f>=IF(17&lt;=INDEX(Assumptions!B:B,MATCH("Years to stability",Assumptions!A:A,0))+1,S5*S9,"")</f>
      </c>
      <c r="T8" s="24">
        <f>=IF(18&lt;=INDEX(Assumptions!B:B,MATCH("Years to stability",Assumptions!A:A,0))+1,T5*T9,"")</f>
      </c>
      <c r="U8" s="24">
        <f>=IF(19&lt;=INDEX(Assumptions!B:B,MATCH("Years to stability",Assumptions!A:A,0))+1,U5*U9,"")</f>
      </c>
      <c r="V8" s="24">
        <f>=IF(20&lt;=INDEX(Assumptions!B:B,MATCH("Years to stability",Assumptions!A:A,0))+1,V5*V9,"")</f>
      </c>
      <c r="W8" s="24">
        <f>=IF(21&lt;=INDEX(Assumptions!B:B,MATCH("Years to stability",Assumptions!A:A,0))+1,W5*W9,"")</f>
      </c>
    </row>
    <row r="9" spans="1:23" x14ac:dyDescent="0.25">
      <c r="A9" s="11" t="s">
        <v>68</v>
      </c>
      <c r="B9" s="25">
        <f>=INDEX(Financials!B:B,MATCH("Margin",Financials!A:A,0))</f>
      </c>
      <c r="C9" s="25">
        <f>=IF(1&gt;INDEX(Assumptions!B:B,MATCH("Years to stability",Assumptions!A:A,0))+1,"",IF(INDEX(Assumptions!B:B,MATCH("Margin convergence",Assumptions!A:A,0))=0,INDEX(Assumptions!B:B,MATCH("FY+1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margin",Assumptions!A:A,0))),IF(1-1&gt;=INDEX(Assumptions!B:B,MATCH("Margin convergence",Assumptions!A:A,0)),INDEX(Assumptions!B:B,MATCH("Stable net profit margin",Assumptions!A:A,0)),INDEX(Assumptions!B:B,MATCH("FY+1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f>
      </c>
      <c r="D9" s="25">
        <f>=IF(2&gt;INDEX(Assumptions!B:B,MATCH("Years to stability",Assumptions!A:A,0))+1,"",IF(INDEX(Assumptions!B:B,MATCH("Margin convergence",Assumptions!A:A,0))=0,INDEX(Assumptions!B:B,MATCH("FY+1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margin",Assumptions!A:A,0))),IF(2-1&gt;=INDEX(Assumptions!B:B,MATCH("Margin convergence",Assumptions!A:A,0)),INDEX(Assumptions!B:B,MATCH("Stable net profit margin",Assumptions!A:A,0)),INDEX(Assumptions!B:B,MATCH("FY+1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f>
      </c>
      <c r="E9" s="25">
        <f>=IF(3&gt;INDEX(Assumptions!B:B,MATCH("Years to stability",Assumptions!A:A,0))+1,"",IF(INDEX(Assumptions!B:B,MATCH("Margin convergence",Assumptions!A:A,0))=0,INDEX(Assumptions!B:B,MATCH("FY+1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margin",Assumptions!A:A,0))),IF(3-1&gt;=INDEX(Assumptions!B:B,MATCH("Margin convergence",Assumptions!A:A,0)),INDEX(Assumptions!B:B,MATCH("Stable net profit margin",Assumptions!A:A,0)),INDEX(Assumptions!B:B,MATCH("FY+1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f>
      </c>
      <c r="F9" s="25">
        <f>=IF(4&gt;INDEX(Assumptions!B:B,MATCH("Years to stability",Assumptions!A:A,0))+1,"",IF(INDEX(Assumptions!B:B,MATCH("Margin convergence",Assumptions!A:A,0))=0,INDEX(Assumptions!B:B,MATCH("FY+1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margin",Assumptions!A:A,0))),IF(4-1&gt;=INDEX(Assumptions!B:B,MATCH("Margin convergence",Assumptions!A:A,0)),INDEX(Assumptions!B:B,MATCH("Stable net profit margin",Assumptions!A:A,0)),INDEX(Assumptions!B:B,MATCH("FY+1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f>
      </c>
      <c r="G9" s="25">
        <f>=IF(5&gt;INDEX(Assumptions!B:B,MATCH("Years to stability",Assumptions!A:A,0))+1,"",IF(INDEX(Assumptions!B:B,MATCH("Margin convergence",Assumptions!A:A,0))=0,INDEX(Assumptions!B:B,MATCH("FY+1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margin",Assumptions!A:A,0))),IF(5-1&gt;=INDEX(Assumptions!B:B,MATCH("Margin convergence",Assumptions!A:A,0)),INDEX(Assumptions!B:B,MATCH("Stable net profit margin",Assumptions!A:A,0)),INDEX(Assumptions!B:B,MATCH("FY+1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f>
      </c>
      <c r="H9" s="25">
        <f>=IF(6&gt;INDEX(Assumptions!B:B,MATCH("Years to stability",Assumptions!A:A,0))+1,"",IF(INDEX(Assumptions!B:B,MATCH("Margin convergence",Assumptions!A:A,0))=0,INDEX(Assumptions!B:B,MATCH("FY+1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margin",Assumptions!A:A,0))),IF(6-1&gt;=INDEX(Assumptions!B:B,MATCH("Margin convergence",Assumptions!A:A,0)),INDEX(Assumptions!B:B,MATCH("Stable net profit margin",Assumptions!A:A,0)),INDEX(Assumptions!B:B,MATCH("FY+1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f>
      </c>
      <c r="I9" s="25">
        <f>=IF(7&gt;INDEX(Assumptions!B:B,MATCH("Years to stability",Assumptions!A:A,0))+1,"",IF(INDEX(Assumptions!B:B,MATCH("Margin convergence",Assumptions!A:A,0))=0,INDEX(Assumptions!B:B,MATCH("FY+1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margin",Assumptions!A:A,0))),IF(7-1&gt;=INDEX(Assumptions!B:B,MATCH("Margin convergence",Assumptions!A:A,0)),INDEX(Assumptions!B:B,MATCH("Stable net profit margin",Assumptions!A:A,0)),INDEX(Assumptions!B:B,MATCH("FY+1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f>
      </c>
      <c r="J9" s="25">
        <f>=IF(8&gt;INDEX(Assumptions!B:B,MATCH("Years to stability",Assumptions!A:A,0))+1,"",IF(INDEX(Assumptions!B:B,MATCH("Margin convergence",Assumptions!A:A,0))=0,INDEX(Assumptions!B:B,MATCH("FY+1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margin",Assumptions!A:A,0))),IF(8-1&gt;=INDEX(Assumptions!B:B,MATCH("Margin convergence",Assumptions!A:A,0)),INDEX(Assumptions!B:B,MATCH("Stable net profit margin",Assumptions!A:A,0)),INDEX(Assumptions!B:B,MATCH("FY+1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f>
      </c>
      <c r="K9" s="25">
        <f>=IF(9&gt;INDEX(Assumptions!B:B,MATCH("Years to stability",Assumptions!A:A,0))+1,"",IF(INDEX(Assumptions!B:B,MATCH("Margin convergence",Assumptions!A:A,0))=0,INDEX(Assumptions!B:B,MATCH("FY+1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margin",Assumptions!A:A,0))),IF(9-1&gt;=INDEX(Assumptions!B:B,MATCH("Margin convergence",Assumptions!A:A,0)),INDEX(Assumptions!B:B,MATCH("Stable net profit margin",Assumptions!A:A,0)),INDEX(Assumptions!B:B,MATCH("FY+1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f>
      </c>
      <c r="L9" s="25">
        <f>=IF(10&gt;INDEX(Assumptions!B:B,MATCH("Years to stability",Assumptions!A:A,0))+1,"",IF(INDEX(Assumptions!B:B,MATCH("Margin convergence",Assumptions!A:A,0))=0,INDEX(Assumptions!B:B,MATCH("FY+1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margin",Assumptions!A:A,0))),IF(10-1&gt;=INDEX(Assumptions!B:B,MATCH("Margin convergence",Assumptions!A:A,0)),INDEX(Assumptions!B:B,MATCH("Stable net profit margin",Assumptions!A:A,0)),INDEX(Assumptions!B:B,MATCH("FY+1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f>
      </c>
      <c r="M9" s="25">
        <f>=IF(11&gt;INDEX(Assumptions!B:B,MATCH("Years to stability",Assumptions!A:A,0))+1,"",IF(INDEX(Assumptions!B:B,MATCH("Margin convergence",Assumptions!A:A,0))=0,INDEX(Assumptions!B:B,MATCH("FY+1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margin",Assumptions!A:A,0))),IF(11-1&gt;=INDEX(Assumptions!B:B,MATCH("Margin convergence",Assumptions!A:A,0)),INDEX(Assumptions!B:B,MATCH("Stable net profit margin",Assumptions!A:A,0)),INDEX(Assumptions!B:B,MATCH("FY+1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f>
      </c>
      <c r="N9" s="25">
        <f>=IF(12&gt;INDEX(Assumptions!B:B,MATCH("Years to stability",Assumptions!A:A,0))+1,"",IF(INDEX(Assumptions!B:B,MATCH("Margin convergence",Assumptions!A:A,0))=0,INDEX(Assumptions!B:B,MATCH("FY+1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margin",Assumptions!A:A,0))),IF(12-1&gt;=INDEX(Assumptions!B:B,MATCH("Margin convergence",Assumptions!A:A,0)),INDEX(Assumptions!B:B,MATCH("Stable net profit margin",Assumptions!A:A,0)),INDEX(Assumptions!B:B,MATCH("FY+1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f>
      </c>
      <c r="O9" s="25">
        <f>=IF(13&gt;INDEX(Assumptions!B:B,MATCH("Years to stability",Assumptions!A:A,0))+1,"",IF(INDEX(Assumptions!B:B,MATCH("Margin convergence",Assumptions!A:A,0))=0,INDEX(Assumptions!B:B,MATCH("FY+1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margin",Assumptions!A:A,0))),IF(13-1&gt;=INDEX(Assumptions!B:B,MATCH("Margin convergence",Assumptions!A:A,0)),INDEX(Assumptions!B:B,MATCH("Stable net profit margin",Assumptions!A:A,0)),INDEX(Assumptions!B:B,MATCH("FY+1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f>
      </c>
      <c r="P9" s="25">
        <f>=IF(14&gt;INDEX(Assumptions!B:B,MATCH("Years to stability",Assumptions!A:A,0))+1,"",IF(INDEX(Assumptions!B:B,MATCH("Margin convergence",Assumptions!A:A,0))=0,INDEX(Assumptions!B:B,MATCH("FY+1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margin",Assumptions!A:A,0))),IF(14-1&gt;=INDEX(Assumptions!B:B,MATCH("Margin convergence",Assumptions!A:A,0)),INDEX(Assumptions!B:B,MATCH("Stable net profit margin",Assumptions!A:A,0)),INDEX(Assumptions!B:B,MATCH("FY+1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f>
      </c>
      <c r="Q9" s="25">
        <f>=IF(15&gt;INDEX(Assumptions!B:B,MATCH("Years to stability",Assumptions!A:A,0))+1,"",IF(INDEX(Assumptions!B:B,MATCH("Margin convergence",Assumptions!A:A,0))=0,INDEX(Assumptions!B:B,MATCH("FY+1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margin",Assumptions!A:A,0))),IF(15-1&gt;=INDEX(Assumptions!B:B,MATCH("Margin convergence",Assumptions!A:A,0)),INDEX(Assumptions!B:B,MATCH("Stable net profit margin",Assumptions!A:A,0)),INDEX(Assumptions!B:B,MATCH("FY+1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f>
      </c>
      <c r="R9" s="25">
        <f>=IF(16&gt;INDEX(Assumptions!B:B,MATCH("Years to stability",Assumptions!A:A,0))+1,"",IF(INDEX(Assumptions!B:B,MATCH("Margin convergence",Assumptions!A:A,0))=0,INDEX(Assumptions!B:B,MATCH("FY+1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margin",Assumptions!A:A,0))),IF(16-1&gt;=INDEX(Assumptions!B:B,MATCH("Margin convergence",Assumptions!A:A,0)),INDEX(Assumptions!B:B,MATCH("Stable net profit margin",Assumptions!A:A,0)),INDEX(Assumptions!B:B,MATCH("FY+1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f>
      </c>
      <c r="S9" s="25">
        <f>=IF(17&gt;INDEX(Assumptions!B:B,MATCH("Years to stability",Assumptions!A:A,0))+1,"",IF(INDEX(Assumptions!B:B,MATCH("Margin convergence",Assumptions!A:A,0))=0,INDEX(Assumptions!B:B,MATCH("FY+1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margin",Assumptions!A:A,0))),IF(17-1&gt;=INDEX(Assumptions!B:B,MATCH("Margin convergence",Assumptions!A:A,0)),INDEX(Assumptions!B:B,MATCH("Stable net profit margin",Assumptions!A:A,0)),INDEX(Assumptions!B:B,MATCH("FY+1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f>
      </c>
      <c r="T9" s="25">
        <f>=IF(18&gt;INDEX(Assumptions!B:B,MATCH("Years to stability",Assumptions!A:A,0))+1,"",IF(INDEX(Assumptions!B:B,MATCH("Margin convergence",Assumptions!A:A,0))=0,INDEX(Assumptions!B:B,MATCH("FY+1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margin",Assumptions!A:A,0))),IF(18-1&gt;=INDEX(Assumptions!B:B,MATCH("Margin convergence",Assumptions!A:A,0)),INDEX(Assumptions!B:B,MATCH("Stable net profit margin",Assumptions!A:A,0)),INDEX(Assumptions!B:B,MATCH("FY+1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f>
      </c>
      <c r="U9" s="25">
        <f>=IF(19&gt;INDEX(Assumptions!B:B,MATCH("Years to stability",Assumptions!A:A,0))+1,"",IF(INDEX(Assumptions!B:B,MATCH("Margin convergence",Assumptions!A:A,0))=0,INDEX(Assumptions!B:B,MATCH("FY+1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margin",Assumptions!A:A,0))),IF(19-1&gt;=INDEX(Assumptions!B:B,MATCH("Margin convergence",Assumptions!A:A,0)),INDEX(Assumptions!B:B,MATCH("Stable net profit margin",Assumptions!A:A,0)),INDEX(Assumptions!B:B,MATCH("FY+1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f>
      </c>
      <c r="V9" s="25">
        <f>=IF(20&gt;INDEX(Assumptions!B:B,MATCH("Years to stability",Assumptions!A:A,0))+1,"",IF(INDEX(Assumptions!B:B,MATCH("Margin convergence",Assumptions!A:A,0))=0,INDEX(Assumptions!B:B,MATCH("FY+1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margin",Assumptions!A:A,0))),IF(20-1&gt;=INDEX(Assumptions!B:B,MATCH("Margin convergence",Assumptions!A:A,0)),INDEX(Assumptions!B:B,MATCH("Stable net profit margin",Assumptions!A:A,0)),INDEX(Assumptions!B:B,MATCH("FY+1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f>
      </c>
      <c r="W9" s="25">
        <f>=IF(21&gt;INDEX(Assumptions!B:B,MATCH("Years to stability",Assumptions!A:A,0))+1,"",IF(INDEX(Assumptions!B:B,MATCH("Margin convergence",Assumptions!A:A,0))=0,INDEX(Assumptions!B:B,MATCH("FY+1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margin",Assumptions!A:A,0))),IF(21-1&gt;=INDEX(Assumptions!B:B,MATCH("Margin convergence",Assumptions!A:A,0)),INDEX(Assumptions!B:B,MATCH("Stable net profit margin",Assumptions!A:A,0)),INDEX(Assumptions!B:B,MATCH("FY+1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f>
      </c>
    </row>
    <row r="10" spans="1:23" x14ac:dyDescent="0.25">
      <c r="A10" s="11" t="s">
        <v>69</v>
      </c>
      <c r="B10" s="24">
        <f>=INDEX(Financials!B:B,MATCH("Reinvestment",Financials!A:A,0))</f>
      </c>
      <c r="C10" s="24">
        <f>=IF(1&lt;=INDEX(Assumptions!B:B,MATCH("Years to stability",Assumptions!A:A,0))+1,IF(1=INDEX(Assumptions!B:B,MATCH("Years to stability",Assumptions!A:A,0))+1,C8*INDEX(Assumptions!B:B,MATCH("Stable growth rate",Assumptions!A:A,0))/INDEX(Assumptions!B:B,MATCH("Stable ROE",Assumptions!A:A,0)),(C5-B5)/INDEX(Assumptions!B:B,MATCH("Sales-to-equity ratio",Assumptions!A:A,0))),"")</f>
      </c>
      <c r="D10" s="24">
        <f>=IF(2&lt;=INDEX(Assumptions!B:B,MATCH("Years to stability",Assumptions!A:A,0))+1,IF(2=INDEX(Assumptions!B:B,MATCH("Years to stability",Assumptions!A:A,0))+1,D8*INDEX(Assumptions!B:B,MATCH("Stable growth rate",Assumptions!A:A,0))/INDEX(Assumptions!B:B,MATCH("Stable ROE",Assumptions!A:A,0)),(D5-C5)/INDEX(Assumptions!B:B,MATCH("Sales-to-equity ratio",Assumptions!A:A,0))),"")</f>
      </c>
      <c r="E10" s="24">
        <f>=IF(3&lt;=INDEX(Assumptions!B:B,MATCH("Years to stability",Assumptions!A:A,0))+1,IF(3=INDEX(Assumptions!B:B,MATCH("Years to stability",Assumptions!A:A,0))+1,E8*INDEX(Assumptions!B:B,MATCH("Stable growth rate",Assumptions!A:A,0))/INDEX(Assumptions!B:B,MATCH("Stable ROE",Assumptions!A:A,0)),(E5-D5)/INDEX(Assumptions!B:B,MATCH("Sales-to-equity ratio",Assumptions!A:A,0))),"")</f>
      </c>
      <c r="F10" s="24">
        <f>=IF(4&lt;=INDEX(Assumptions!B:B,MATCH("Years to stability",Assumptions!A:A,0))+1,IF(4=INDEX(Assumptions!B:B,MATCH("Years to stability",Assumptions!A:A,0))+1,F8*INDEX(Assumptions!B:B,MATCH("Stable growth rate",Assumptions!A:A,0))/INDEX(Assumptions!B:B,MATCH("Stable ROE",Assumptions!A:A,0)),(F5-E5)/INDEX(Assumptions!B:B,MATCH("Sales-to-equity ratio",Assumptions!A:A,0))),"")</f>
      </c>
      <c r="G10" s="24">
        <f>=IF(5&lt;=INDEX(Assumptions!B:B,MATCH("Years to stability",Assumptions!A:A,0))+1,IF(5=INDEX(Assumptions!B:B,MATCH("Years to stability",Assumptions!A:A,0))+1,G8*INDEX(Assumptions!B:B,MATCH("Stable growth rate",Assumptions!A:A,0))/INDEX(Assumptions!B:B,MATCH("Stable ROE",Assumptions!A:A,0)),(G5-F5)/INDEX(Assumptions!B:B,MATCH("Sales-to-equity ratio",Assumptions!A:A,0))),"")</f>
      </c>
      <c r="H10" s="24">
        <f>=IF(6&lt;=INDEX(Assumptions!B:B,MATCH("Years to stability",Assumptions!A:A,0))+1,IF(6=INDEX(Assumptions!B:B,MATCH("Years to stability",Assumptions!A:A,0))+1,H8*INDEX(Assumptions!B:B,MATCH("Stable growth rate",Assumptions!A:A,0))/INDEX(Assumptions!B:B,MATCH("Stable ROE",Assumptions!A:A,0)),(H5-G5)/INDEX(Assumptions!B:B,MATCH("Sales-to-equity ratio",Assumptions!A:A,0))),"")</f>
      </c>
      <c r="I10" s="24">
        <f>=IF(7&lt;=INDEX(Assumptions!B:B,MATCH("Years to stability",Assumptions!A:A,0))+1,IF(7=INDEX(Assumptions!B:B,MATCH("Years to stability",Assumptions!A:A,0))+1,I8*INDEX(Assumptions!B:B,MATCH("Stable growth rate",Assumptions!A:A,0))/INDEX(Assumptions!B:B,MATCH("Stable ROE",Assumptions!A:A,0)),(I5-H5)/INDEX(Assumptions!B:B,MATCH("Sales-to-equity ratio",Assumptions!A:A,0))),"")</f>
      </c>
      <c r="J10" s="24">
        <f>=IF(8&lt;=INDEX(Assumptions!B:B,MATCH("Years to stability",Assumptions!A:A,0))+1,IF(8=INDEX(Assumptions!B:B,MATCH("Years to stability",Assumptions!A:A,0))+1,J8*INDEX(Assumptions!B:B,MATCH("Stable growth rate",Assumptions!A:A,0))/INDEX(Assumptions!B:B,MATCH("Stable ROE",Assumptions!A:A,0)),(J5-I5)/INDEX(Assumptions!B:B,MATCH("Sales-to-equity ratio",Assumptions!A:A,0))),"")</f>
      </c>
      <c r="K10" s="24">
        <f>=IF(9&lt;=INDEX(Assumptions!B:B,MATCH("Years to stability",Assumptions!A:A,0))+1,IF(9=INDEX(Assumptions!B:B,MATCH("Years to stability",Assumptions!A:A,0))+1,K8*INDEX(Assumptions!B:B,MATCH("Stable growth rate",Assumptions!A:A,0))/INDEX(Assumptions!B:B,MATCH("Stable ROE",Assumptions!A:A,0)),(K5-J5)/INDEX(Assumptions!B:B,MATCH("Sales-to-equity ratio",Assumptions!A:A,0))),"")</f>
      </c>
      <c r="L10" s="24">
        <f>=IF(10&lt;=INDEX(Assumptions!B:B,MATCH("Years to stability",Assumptions!A:A,0))+1,IF(10=INDEX(Assumptions!B:B,MATCH("Years to stability",Assumptions!A:A,0))+1,L8*INDEX(Assumptions!B:B,MATCH("Stable growth rate",Assumptions!A:A,0))/INDEX(Assumptions!B:B,MATCH("Stable ROE",Assumptions!A:A,0)),(L5-K5)/INDEX(Assumptions!B:B,MATCH("Sales-to-equity ratio",Assumptions!A:A,0))),"")</f>
      </c>
      <c r="M10" s="24">
        <f>=IF(11&lt;=INDEX(Assumptions!B:B,MATCH("Years to stability",Assumptions!A:A,0))+1,IF(11=INDEX(Assumptions!B:B,MATCH("Years to stability",Assumptions!A:A,0))+1,M8*INDEX(Assumptions!B:B,MATCH("Stable growth rate",Assumptions!A:A,0))/INDEX(Assumptions!B:B,MATCH("Stable ROE",Assumptions!A:A,0)),(M5-L5)/INDEX(Assumptions!B:B,MATCH("Sales-to-equity ratio",Assumptions!A:A,0))),"")</f>
      </c>
      <c r="N10" s="24">
        <f>=IF(12&lt;=INDEX(Assumptions!B:B,MATCH("Years to stability",Assumptions!A:A,0))+1,IF(12=INDEX(Assumptions!B:B,MATCH("Years to stability",Assumptions!A:A,0))+1,N8*INDEX(Assumptions!B:B,MATCH("Stable growth rate",Assumptions!A:A,0))/INDEX(Assumptions!B:B,MATCH("Stable ROE",Assumptions!A:A,0)),(N5-M5)/INDEX(Assumptions!B:B,MATCH("Sales-to-equity ratio",Assumptions!A:A,0))),"")</f>
      </c>
      <c r="O10" s="24">
        <f>=IF(13&lt;=INDEX(Assumptions!B:B,MATCH("Years to stability",Assumptions!A:A,0))+1,IF(13=INDEX(Assumptions!B:B,MATCH("Years to stability",Assumptions!A:A,0))+1,O8*INDEX(Assumptions!B:B,MATCH("Stable growth rate",Assumptions!A:A,0))/INDEX(Assumptions!B:B,MATCH("Stable ROE",Assumptions!A:A,0)),(O5-N5)/INDEX(Assumptions!B:B,MATCH("Sales-to-equity ratio",Assumptions!A:A,0))),"")</f>
      </c>
      <c r="P10" s="24">
        <f>=IF(14&lt;=INDEX(Assumptions!B:B,MATCH("Years to stability",Assumptions!A:A,0))+1,IF(14=INDEX(Assumptions!B:B,MATCH("Years to stability",Assumptions!A:A,0))+1,P8*INDEX(Assumptions!B:B,MATCH("Stable growth rate",Assumptions!A:A,0))/INDEX(Assumptions!B:B,MATCH("Stable ROE",Assumptions!A:A,0)),(P5-O5)/INDEX(Assumptions!B:B,MATCH("Sales-to-equity ratio",Assumptions!A:A,0))),"")</f>
      </c>
      <c r="Q10" s="24">
        <f>=IF(15&lt;=INDEX(Assumptions!B:B,MATCH("Years to stability",Assumptions!A:A,0))+1,IF(15=INDEX(Assumptions!B:B,MATCH("Years to stability",Assumptions!A:A,0))+1,Q8*INDEX(Assumptions!B:B,MATCH("Stable growth rate",Assumptions!A:A,0))/INDEX(Assumptions!B:B,MATCH("Stable ROE",Assumptions!A:A,0)),(Q5-P5)/INDEX(Assumptions!B:B,MATCH("Sales-to-equity ratio",Assumptions!A:A,0))),"")</f>
      </c>
      <c r="R10" s="24">
        <f>=IF(16&lt;=INDEX(Assumptions!B:B,MATCH("Years to stability",Assumptions!A:A,0))+1,IF(16=INDEX(Assumptions!B:B,MATCH("Years to stability",Assumptions!A:A,0))+1,R8*INDEX(Assumptions!B:B,MATCH("Stable growth rate",Assumptions!A:A,0))/INDEX(Assumptions!B:B,MATCH("Stable ROE",Assumptions!A:A,0)),(R5-Q5)/INDEX(Assumptions!B:B,MATCH("Sales-to-equity ratio",Assumptions!A:A,0))),"")</f>
      </c>
      <c r="S10" s="24">
        <f>=IF(17&lt;=INDEX(Assumptions!B:B,MATCH("Years to stability",Assumptions!A:A,0))+1,IF(17=INDEX(Assumptions!B:B,MATCH("Years to stability",Assumptions!A:A,0))+1,S8*INDEX(Assumptions!B:B,MATCH("Stable growth rate",Assumptions!A:A,0))/INDEX(Assumptions!B:B,MATCH("Stable ROE",Assumptions!A:A,0)),(S5-R5)/INDEX(Assumptions!B:B,MATCH("Sales-to-equity ratio",Assumptions!A:A,0))),"")</f>
      </c>
      <c r="T10" s="24">
        <f>=IF(18&lt;=INDEX(Assumptions!B:B,MATCH("Years to stability",Assumptions!A:A,0))+1,IF(18=INDEX(Assumptions!B:B,MATCH("Years to stability",Assumptions!A:A,0))+1,T8*INDEX(Assumptions!B:B,MATCH("Stable growth rate",Assumptions!A:A,0))/INDEX(Assumptions!B:B,MATCH("Stable ROE",Assumptions!A:A,0)),(T5-S5)/INDEX(Assumptions!B:B,MATCH("Sales-to-equity ratio",Assumptions!A:A,0))),"")</f>
      </c>
      <c r="U10" s="24">
        <f>=IF(19&lt;=INDEX(Assumptions!B:B,MATCH("Years to stability",Assumptions!A:A,0))+1,IF(19=INDEX(Assumptions!B:B,MATCH("Years to stability",Assumptions!A:A,0))+1,U8*INDEX(Assumptions!B:B,MATCH("Stable growth rate",Assumptions!A:A,0))/INDEX(Assumptions!B:B,MATCH("Stable ROE",Assumptions!A:A,0)),(U5-T5)/INDEX(Assumptions!B:B,MATCH("Sales-to-equity ratio",Assumptions!A:A,0))),"")</f>
      </c>
      <c r="V10" s="24">
        <f>=IF(20&lt;=INDEX(Assumptions!B:B,MATCH("Years to stability",Assumptions!A:A,0))+1,IF(20=INDEX(Assumptions!B:B,MATCH("Years to stability",Assumptions!A:A,0))+1,V8*INDEX(Assumptions!B:B,MATCH("Stable growth rate",Assumptions!A:A,0))/INDEX(Assumptions!B:B,MATCH("Stable ROE",Assumptions!A:A,0)),(V5-U5)/INDEX(Assumptions!B:B,MATCH("Sales-to-equity ratio",Assumptions!A:A,0))),"")</f>
      </c>
      <c r="W10" s="24">
        <f>=IF(21&lt;=INDEX(Assumptions!B:B,MATCH("Years to stability",Assumptions!A:A,0))+1,IF(21=INDEX(Assumptions!B:B,MATCH("Years to stability",Assumptions!A:A,0))+1,W8*INDEX(Assumptions!B:B,MATCH("Stable growth rate",Assumptions!A:A,0))/INDEX(Assumptions!B:B,MATCH("Stable ROE",Assumptions!A:A,0)),(W5-V5)/INDEX(Assumptions!B:B,MATCH("Sales-to-equity ratio",Assumptions!A:A,0))),"")</f>
      </c>
    </row>
    <row r="11" spans="1:23" x14ac:dyDescent="0.25">
      <c r="A11" s="11" t="s">
        <v>70</v>
      </c>
      <c r="B11" s="24">
        <f>=INDEX(Financials!B:B,MATCH("Adjusted Equity",Financials!A:A,0))</f>
      </c>
      <c r="C11" s="24">
        <f>=IF(1&lt;=INDEX(Assumptions!B:B,MATCH("Years to stability",Assumptions!A:A,0))+1,B11+C10,"")</f>
      </c>
      <c r="D11" s="24">
        <f>=IF(2&lt;=INDEX(Assumptions!B:B,MATCH("Years to stability",Assumptions!A:A,0))+1,C11+D10,"")</f>
      </c>
      <c r="E11" s="24">
        <f>=IF(3&lt;=INDEX(Assumptions!B:B,MATCH("Years to stability",Assumptions!A:A,0))+1,D11+E10,"")</f>
      </c>
      <c r="F11" s="24">
        <f>=IF(4&lt;=INDEX(Assumptions!B:B,MATCH("Years to stability",Assumptions!A:A,0))+1,E11+F10,"")</f>
      </c>
      <c r="G11" s="24">
        <f>=IF(5&lt;=INDEX(Assumptions!B:B,MATCH("Years to stability",Assumptions!A:A,0))+1,F11+G10,"")</f>
      </c>
      <c r="H11" s="24">
        <f>=IF(6&lt;=INDEX(Assumptions!B:B,MATCH("Years to stability",Assumptions!A:A,0))+1,G11+H10,"")</f>
      </c>
      <c r="I11" s="24">
        <f>=IF(7&lt;=INDEX(Assumptions!B:B,MATCH("Years to stability",Assumptions!A:A,0))+1,H11+I10,"")</f>
      </c>
      <c r="J11" s="24">
        <f>=IF(8&lt;=INDEX(Assumptions!B:B,MATCH("Years to stability",Assumptions!A:A,0))+1,I11+J10,"")</f>
      </c>
      <c r="K11" s="24">
        <f>=IF(9&lt;=INDEX(Assumptions!B:B,MATCH("Years to stability",Assumptions!A:A,0))+1,J11+K10,"")</f>
      </c>
      <c r="L11" s="24">
        <f>=IF(10&lt;=INDEX(Assumptions!B:B,MATCH("Years to stability",Assumptions!A:A,0))+1,K11+L10,"")</f>
      </c>
      <c r="M11" s="24">
        <f>=IF(11&lt;=INDEX(Assumptions!B:B,MATCH("Years to stability",Assumptions!A:A,0))+1,L11+M10,"")</f>
      </c>
      <c r="N11" s="24">
        <f>=IF(12&lt;=INDEX(Assumptions!B:B,MATCH("Years to stability",Assumptions!A:A,0))+1,M11+N10,"")</f>
      </c>
      <c r="O11" s="24">
        <f>=IF(13&lt;=INDEX(Assumptions!B:B,MATCH("Years to stability",Assumptions!A:A,0))+1,N11+O10,"")</f>
      </c>
      <c r="P11" s="24">
        <f>=IF(14&lt;=INDEX(Assumptions!B:B,MATCH("Years to stability",Assumptions!A:A,0))+1,O11+P10,"")</f>
      </c>
      <c r="Q11" s="24">
        <f>=IF(15&lt;=INDEX(Assumptions!B:B,MATCH("Years to stability",Assumptions!A:A,0))+1,P11+Q10,"")</f>
      </c>
      <c r="R11" s="24">
        <f>=IF(16&lt;=INDEX(Assumptions!B:B,MATCH("Years to stability",Assumptions!A:A,0))+1,Q11+R10,"")</f>
      </c>
      <c r="S11" s="24">
        <f>=IF(17&lt;=INDEX(Assumptions!B:B,MATCH("Years to stability",Assumptions!A:A,0))+1,R11+S10,"")</f>
      </c>
      <c r="T11" s="24">
        <f>=IF(18&lt;=INDEX(Assumptions!B:B,MATCH("Years to stability",Assumptions!A:A,0))+1,S11+T10,"")</f>
      </c>
      <c r="U11" s="24">
        <f>=IF(19&lt;=INDEX(Assumptions!B:B,MATCH("Years to stability",Assumptions!A:A,0))+1,T11+U10,"")</f>
      </c>
      <c r="V11" s="24">
        <f>=IF(20&lt;=INDEX(Assumptions!B:B,MATCH("Years to stability",Assumptions!A:A,0))+1,U11+V10,"")</f>
      </c>
      <c r="W11" s="24">
        <f>=IF(21&lt;=INDEX(Assumptions!B:B,MATCH("Years to stability",Assumptions!A:A,0))+1,V11+W10,"")</f>
      </c>
    </row>
    <row r="12" spans="1:23" x14ac:dyDescent="0.25">
      <c r="A12" s="11" t="s">
        <v>71</v>
      </c>
      <c r="B12" s="25">
        <f>=B8/B11</f>
      </c>
      <c r="C12" s="25">
        <f>=IF(1&gt;INDEX(Assumptions!B:B,MATCH("Years to stability",Assumptions!A:A,0))+1,"",IF(1=INDEX(Assumptions!B:B,MATCH("Years to stability",Assumptions!A:A,0))+1,INDEX(Assumptions!B:B,MATCH("Stable ROE",Assumptions!A:A,0)),C8/C11))</f>
      </c>
      <c r="D12" s="25">
        <f>=IF(2&gt;INDEX(Assumptions!B:B,MATCH("Years to stability",Assumptions!A:A,0))+1,"",IF(2=INDEX(Assumptions!B:B,MATCH("Years to stability",Assumptions!A:A,0))+1,INDEX(Assumptions!B:B,MATCH("Stable ROE",Assumptions!A:A,0)),D8/D11))</f>
      </c>
      <c r="E12" s="25">
        <f>=IF(3&gt;INDEX(Assumptions!B:B,MATCH("Years to stability",Assumptions!A:A,0))+1,"",IF(3=INDEX(Assumptions!B:B,MATCH("Years to stability",Assumptions!A:A,0))+1,INDEX(Assumptions!B:B,MATCH("Stable ROE",Assumptions!A:A,0)),E8/E11))</f>
      </c>
      <c r="F12" s="25">
        <f>=IF(4&gt;INDEX(Assumptions!B:B,MATCH("Years to stability",Assumptions!A:A,0))+1,"",IF(4=INDEX(Assumptions!B:B,MATCH("Years to stability",Assumptions!A:A,0))+1,INDEX(Assumptions!B:B,MATCH("Stable ROE",Assumptions!A:A,0)),F8/F11))</f>
      </c>
      <c r="G12" s="25">
        <f>=IF(5&gt;INDEX(Assumptions!B:B,MATCH("Years to stability",Assumptions!A:A,0))+1,"",IF(5=INDEX(Assumptions!B:B,MATCH("Years to stability",Assumptions!A:A,0))+1,INDEX(Assumptions!B:B,MATCH("Stable ROE",Assumptions!A:A,0)),G8/G11))</f>
      </c>
      <c r="H12" s="25">
        <f>=IF(6&gt;INDEX(Assumptions!B:B,MATCH("Years to stability",Assumptions!A:A,0))+1,"",IF(6=INDEX(Assumptions!B:B,MATCH("Years to stability",Assumptions!A:A,0))+1,INDEX(Assumptions!B:B,MATCH("Stable ROE",Assumptions!A:A,0)),H8/H11))</f>
      </c>
      <c r="I12" s="25">
        <f>=IF(7&gt;INDEX(Assumptions!B:B,MATCH("Years to stability",Assumptions!A:A,0))+1,"",IF(7=INDEX(Assumptions!B:B,MATCH("Years to stability",Assumptions!A:A,0))+1,INDEX(Assumptions!B:B,MATCH("Stable ROE",Assumptions!A:A,0)),I8/I11))</f>
      </c>
      <c r="J12" s="25">
        <f>=IF(8&gt;INDEX(Assumptions!B:B,MATCH("Years to stability",Assumptions!A:A,0))+1,"",IF(8=INDEX(Assumptions!B:B,MATCH("Years to stability",Assumptions!A:A,0))+1,INDEX(Assumptions!B:B,MATCH("Stable ROE",Assumptions!A:A,0)),J8/J11))</f>
      </c>
      <c r="K12" s="25">
        <f>=IF(9&gt;INDEX(Assumptions!B:B,MATCH("Years to stability",Assumptions!A:A,0))+1,"",IF(9=INDEX(Assumptions!B:B,MATCH("Years to stability",Assumptions!A:A,0))+1,INDEX(Assumptions!B:B,MATCH("Stable ROE",Assumptions!A:A,0)),K8/K11))</f>
      </c>
      <c r="L12" s="25">
        <f>=IF(10&gt;INDEX(Assumptions!B:B,MATCH("Years to stability",Assumptions!A:A,0))+1,"",IF(10=INDEX(Assumptions!B:B,MATCH("Years to stability",Assumptions!A:A,0))+1,INDEX(Assumptions!B:B,MATCH("Stable ROE",Assumptions!A:A,0)),L8/L11))</f>
      </c>
      <c r="M12" s="25">
        <f>=IF(11&gt;INDEX(Assumptions!B:B,MATCH("Years to stability",Assumptions!A:A,0))+1,"",IF(11=INDEX(Assumptions!B:B,MATCH("Years to stability",Assumptions!A:A,0))+1,INDEX(Assumptions!B:B,MATCH("Stable ROE",Assumptions!A:A,0)),M8/M11))</f>
      </c>
      <c r="N12" s="25">
        <f>=IF(12&gt;INDEX(Assumptions!B:B,MATCH("Years to stability",Assumptions!A:A,0))+1,"",IF(12=INDEX(Assumptions!B:B,MATCH("Years to stability",Assumptions!A:A,0))+1,INDEX(Assumptions!B:B,MATCH("Stable ROE",Assumptions!A:A,0)),N8/N11))</f>
      </c>
      <c r="O12" s="25">
        <f>=IF(13&gt;INDEX(Assumptions!B:B,MATCH("Years to stability",Assumptions!A:A,0))+1,"",IF(13=INDEX(Assumptions!B:B,MATCH("Years to stability",Assumptions!A:A,0))+1,INDEX(Assumptions!B:B,MATCH("Stable ROE",Assumptions!A:A,0)),O8/O11))</f>
      </c>
      <c r="P12" s="25">
        <f>=IF(14&gt;INDEX(Assumptions!B:B,MATCH("Years to stability",Assumptions!A:A,0))+1,"",IF(14=INDEX(Assumptions!B:B,MATCH("Years to stability",Assumptions!A:A,0))+1,INDEX(Assumptions!B:B,MATCH("Stable ROE",Assumptions!A:A,0)),P8/P11))</f>
      </c>
      <c r="Q12" s="25">
        <f>=IF(15&gt;INDEX(Assumptions!B:B,MATCH("Years to stability",Assumptions!A:A,0))+1,"",IF(15=INDEX(Assumptions!B:B,MATCH("Years to stability",Assumptions!A:A,0))+1,INDEX(Assumptions!B:B,MATCH("Stable ROE",Assumptions!A:A,0)),Q8/Q11))</f>
      </c>
      <c r="R12" s="25">
        <f>=IF(16&gt;INDEX(Assumptions!B:B,MATCH("Years to stability",Assumptions!A:A,0))+1,"",IF(16=INDEX(Assumptions!B:B,MATCH("Years to stability",Assumptions!A:A,0))+1,INDEX(Assumptions!B:B,MATCH("Stable ROE",Assumptions!A:A,0)),R8/R11))</f>
      </c>
      <c r="S12" s="25">
        <f>=IF(17&gt;INDEX(Assumptions!B:B,MATCH("Years to stability",Assumptions!A:A,0))+1,"",IF(17=INDEX(Assumptions!B:B,MATCH("Years to stability",Assumptions!A:A,0))+1,INDEX(Assumptions!B:B,MATCH("Stable ROE",Assumptions!A:A,0)),S8/S11))</f>
      </c>
      <c r="T12" s="25">
        <f>=IF(18&gt;INDEX(Assumptions!B:B,MATCH("Years to stability",Assumptions!A:A,0))+1,"",IF(18=INDEX(Assumptions!B:B,MATCH("Years to stability",Assumptions!A:A,0))+1,INDEX(Assumptions!B:B,MATCH("Stable ROE",Assumptions!A:A,0)),T8/T11))</f>
      </c>
      <c r="U12" s="25">
        <f>=IF(19&gt;INDEX(Assumptions!B:B,MATCH("Years to stability",Assumptions!A:A,0))+1,"",IF(19=INDEX(Assumptions!B:B,MATCH("Years to stability",Assumptions!A:A,0))+1,INDEX(Assumptions!B:B,MATCH("Stable ROE",Assumptions!A:A,0)),U8/U11))</f>
      </c>
      <c r="V12" s="25">
        <f>=IF(20&gt;INDEX(Assumptions!B:B,MATCH("Years to stability",Assumptions!A:A,0))+1,"",IF(20=INDEX(Assumptions!B:B,MATCH("Years to stability",Assumptions!A:A,0))+1,INDEX(Assumptions!B:B,MATCH("Stable ROE",Assumptions!A:A,0)),V8/V11))</f>
      </c>
      <c r="W12" s="25">
        <f>=IF(21&gt;INDEX(Assumptions!B:B,MATCH("Years to stability",Assumptions!A:A,0))+1,"",IF(21=INDEX(Assumptions!B:B,MATCH("Years to stability",Assumptions!A:A,0))+1,INDEX(Assumptions!B:B,MATCH("Stable ROE",Assumptions!A:A,0)),W8/W11))</f>
      </c>
    </row>
    <row r="13" spans="1:23" x14ac:dyDescent="0.25">
      <c r="A13" s="11" t="s">
        <v>72</v>
      </c>
      <c r="B13" s="26">
        <f>=INDEX(Financials!B:B,MATCH("Sales to Equity Ratio",Financials!A:A,0))</f>
      </c>
      <c r="C13" s="26">
        <f>=IF(1&lt;=INDEX(Assumptions!B:B,MATCH("Years to stability",Assumptions!A:A,0))+1,INDEX(Assumptions!B:B,MATCH("Sales-to-equity ratio",Assumptions!A:A,0)),"")</f>
      </c>
      <c r="D13" s="26">
        <f>=IF(2&lt;=INDEX(Assumptions!B:B,MATCH("Years to stability",Assumptions!A:A,0))+1,INDEX(Assumptions!B:B,MATCH("Sales-to-equity ratio",Assumptions!A:A,0)),"")</f>
      </c>
      <c r="E13" s="26">
        <f>=IF(3&lt;=INDEX(Assumptions!B:B,MATCH("Years to stability",Assumptions!A:A,0))+1,INDEX(Assumptions!B:B,MATCH("Sales-to-equity ratio",Assumptions!A:A,0)),"")</f>
      </c>
      <c r="F13" s="26">
        <f>=IF(4&lt;=INDEX(Assumptions!B:B,MATCH("Years to stability",Assumptions!A:A,0))+1,INDEX(Assumptions!B:B,MATCH("Sales-to-equity ratio",Assumptions!A:A,0)),"")</f>
      </c>
      <c r="G13" s="26">
        <f>=IF(5&lt;=INDEX(Assumptions!B:B,MATCH("Years to stability",Assumptions!A:A,0))+1,INDEX(Assumptions!B:B,MATCH("Sales-to-equity ratio",Assumptions!A:A,0)),"")</f>
      </c>
      <c r="H13" s="26">
        <f>=IF(6&lt;=INDEX(Assumptions!B:B,MATCH("Years to stability",Assumptions!A:A,0))+1,INDEX(Assumptions!B:B,MATCH("Sales-to-equity ratio",Assumptions!A:A,0)),"")</f>
      </c>
      <c r="I13" s="26">
        <f>=IF(7&lt;=INDEX(Assumptions!B:B,MATCH("Years to stability",Assumptions!A:A,0))+1,INDEX(Assumptions!B:B,MATCH("Sales-to-equity ratio",Assumptions!A:A,0)),"")</f>
      </c>
      <c r="J13" s="26">
        <f>=IF(8&lt;=INDEX(Assumptions!B:B,MATCH("Years to stability",Assumptions!A:A,0))+1,INDEX(Assumptions!B:B,MATCH("Sales-to-equity ratio",Assumptions!A:A,0)),"")</f>
      </c>
      <c r="K13" s="26">
        <f>=IF(9&lt;=INDEX(Assumptions!B:B,MATCH("Years to stability",Assumptions!A:A,0))+1,INDEX(Assumptions!B:B,MATCH("Sales-to-equity ratio",Assumptions!A:A,0)),"")</f>
      </c>
      <c r="L13" s="26">
        <f>=IF(10&lt;=INDEX(Assumptions!B:B,MATCH("Years to stability",Assumptions!A:A,0))+1,INDEX(Assumptions!B:B,MATCH("Sales-to-equity ratio",Assumptions!A:A,0)),"")</f>
      </c>
      <c r="M13" s="26">
        <f>=IF(11&lt;=INDEX(Assumptions!B:B,MATCH("Years to stability",Assumptions!A:A,0))+1,INDEX(Assumptions!B:B,MATCH("Sales-to-equity ratio",Assumptions!A:A,0)),"")</f>
      </c>
      <c r="N13" s="26">
        <f>=IF(12&lt;=INDEX(Assumptions!B:B,MATCH("Years to stability",Assumptions!A:A,0))+1,INDEX(Assumptions!B:B,MATCH("Sales-to-equity ratio",Assumptions!A:A,0)),"")</f>
      </c>
      <c r="O13" s="26">
        <f>=IF(13&lt;=INDEX(Assumptions!B:B,MATCH("Years to stability",Assumptions!A:A,0))+1,INDEX(Assumptions!B:B,MATCH("Sales-to-equity ratio",Assumptions!A:A,0)),"")</f>
      </c>
      <c r="P13" s="26">
        <f>=IF(14&lt;=INDEX(Assumptions!B:B,MATCH("Years to stability",Assumptions!A:A,0))+1,INDEX(Assumptions!B:B,MATCH("Sales-to-equity ratio",Assumptions!A:A,0)),"")</f>
      </c>
      <c r="Q13" s="26">
        <f>=IF(15&lt;=INDEX(Assumptions!B:B,MATCH("Years to stability",Assumptions!A:A,0))+1,INDEX(Assumptions!B:B,MATCH("Sales-to-equity ratio",Assumptions!A:A,0)),"")</f>
      </c>
      <c r="R13" s="26">
        <f>=IF(16&lt;=INDEX(Assumptions!B:B,MATCH("Years to stability",Assumptions!A:A,0))+1,INDEX(Assumptions!B:B,MATCH("Sales-to-equity ratio",Assumptions!A:A,0)),"")</f>
      </c>
      <c r="S13" s="26">
        <f>=IF(17&lt;=INDEX(Assumptions!B:B,MATCH("Years to stability",Assumptions!A:A,0))+1,INDEX(Assumptions!B:B,MATCH("Sales-to-equity ratio",Assumptions!A:A,0)),"")</f>
      </c>
      <c r="T13" s="26">
        <f>=IF(18&lt;=INDEX(Assumptions!B:B,MATCH("Years to stability",Assumptions!A:A,0))+1,INDEX(Assumptions!B:B,MATCH("Sales-to-equity ratio",Assumptions!A:A,0)),"")</f>
      </c>
      <c r="U13" s="26">
        <f>=IF(19&lt;=INDEX(Assumptions!B:B,MATCH("Years to stability",Assumptions!A:A,0))+1,INDEX(Assumptions!B:B,MATCH("Sales-to-equity ratio",Assumptions!A:A,0)),"")</f>
      </c>
      <c r="V13" s="26">
        <f>=IF(20&lt;=INDEX(Assumptions!B:B,MATCH("Years to stability",Assumptions!A:A,0))+1,INDEX(Assumptions!B:B,MATCH("Sales-to-equity ratio",Assumptions!A:A,0)),"")</f>
      </c>
      <c r="W13" s="26">
        <f>=IF(21&lt;=INDEX(Assumptions!B:B,MATCH("Years to stability",Assumptions!A:A,0))+1,INDEX(Assumptions!B:B,MATCH("Sales-to-equity ratio",Assumptions!A:A,0)),"")</f>
      </c>
    </row>
    <row r="14" spans="1:23" x14ac:dyDescent="0.25">
      <c r="A14" s="11" t="s">
        <v>73</v>
      </c>
      <c r="B14" s="24">
        <f>=B8-B10</f>
      </c>
      <c r="C14" s="24">
        <f>=IF(1&lt;=INDEX(Assumptions!B:B,MATCH("Years to stability",Assumptions!A:A,0))+1,C8-C10,"")</f>
      </c>
      <c r="D14" s="24">
        <f>=IF(2&lt;=INDEX(Assumptions!B:B,MATCH("Years to stability",Assumptions!A:A,0))+1,D8-D10,"")</f>
      </c>
      <c r="E14" s="24">
        <f>=IF(3&lt;=INDEX(Assumptions!B:B,MATCH("Years to stability",Assumptions!A:A,0))+1,E8-E10,"")</f>
      </c>
      <c r="F14" s="24">
        <f>=IF(4&lt;=INDEX(Assumptions!B:B,MATCH("Years to stability",Assumptions!A:A,0))+1,F8-F10,"")</f>
      </c>
      <c r="G14" s="24">
        <f>=IF(5&lt;=INDEX(Assumptions!B:B,MATCH("Years to stability",Assumptions!A:A,0))+1,G8-G10,"")</f>
      </c>
      <c r="H14" s="24">
        <f>=IF(6&lt;=INDEX(Assumptions!B:B,MATCH("Years to stability",Assumptions!A:A,0))+1,H8-H10,"")</f>
      </c>
      <c r="I14" s="24">
        <f>=IF(7&lt;=INDEX(Assumptions!B:B,MATCH("Years to stability",Assumptions!A:A,0))+1,I8-I10,"")</f>
      </c>
      <c r="J14" s="24">
        <f>=IF(8&lt;=INDEX(Assumptions!B:B,MATCH("Years to stability",Assumptions!A:A,0))+1,J8-J10,"")</f>
      </c>
      <c r="K14" s="24">
        <f>=IF(9&lt;=INDEX(Assumptions!B:B,MATCH("Years to stability",Assumptions!A:A,0))+1,K8-K10,"")</f>
      </c>
      <c r="L14" s="24">
        <f>=IF(10&lt;=INDEX(Assumptions!B:B,MATCH("Years to stability",Assumptions!A:A,0))+1,L8-L10,"")</f>
      </c>
      <c r="M14" s="24">
        <f>=IF(11&lt;=INDEX(Assumptions!B:B,MATCH("Years to stability",Assumptions!A:A,0))+1,M8-M10,"")</f>
      </c>
      <c r="N14" s="24">
        <f>=IF(12&lt;=INDEX(Assumptions!B:B,MATCH("Years to stability",Assumptions!A:A,0))+1,N8-N10,"")</f>
      </c>
      <c r="O14" s="24">
        <f>=IF(13&lt;=INDEX(Assumptions!B:B,MATCH("Years to stability",Assumptions!A:A,0))+1,O8-O10,"")</f>
      </c>
      <c r="P14" s="24">
        <f>=IF(14&lt;=INDEX(Assumptions!B:B,MATCH("Years to stability",Assumptions!A:A,0))+1,P8-P10,"")</f>
      </c>
      <c r="Q14" s="24">
        <f>=IF(15&lt;=INDEX(Assumptions!B:B,MATCH("Years to stability",Assumptions!A:A,0))+1,Q8-Q10,"")</f>
      </c>
      <c r="R14" s="24">
        <f>=IF(16&lt;=INDEX(Assumptions!B:B,MATCH("Years to stability",Assumptions!A:A,0))+1,R8-R10,"")</f>
      </c>
      <c r="S14" s="24">
        <f>=IF(17&lt;=INDEX(Assumptions!B:B,MATCH("Years to stability",Assumptions!A:A,0))+1,S8-S10,"")</f>
      </c>
      <c r="T14" s="24">
        <f>=IF(18&lt;=INDEX(Assumptions!B:B,MATCH("Years to stability",Assumptions!A:A,0))+1,T8-T10,"")</f>
      </c>
      <c r="U14" s="24">
        <f>=IF(19&lt;=INDEX(Assumptions!B:B,MATCH("Years to stability",Assumptions!A:A,0))+1,U8-U10,"")</f>
      </c>
      <c r="V14" s="24">
        <f>=IF(20&lt;=INDEX(Assumptions!B:B,MATCH("Years to stability",Assumptions!A:A,0))+1,V8-V10,"")</f>
      </c>
      <c r="W14" s="24">
        <f>=IF(21&lt;=INDEX(Assumptions!B:B,MATCH("Years to stability",Assumptions!A:A,0))+1,W8-W10,"")</f>
      </c>
    </row>
    <row r="15" spans="1:23" x14ac:dyDescent="0.25">
      <c r="A15" s="11" t="s">
        <v>74</v>
      </c>
      <c r="B15" s="12"/>
      <c r="C15" s="24">
        <f>=IF(1=INDEX(Assumptions!B:B,MATCH("Years to stability",Assumptions!A:A,0))+1,C14/(LOOKUP(2,1/('Cost of equity'!A:A="Stable cost of equity"),'Cost of equity'!B:B)-INDEX(Assumptions!B:B,MATCH("Stable growth rate",Assumptions!A:A,0))),"")</f>
      </c>
      <c r="D15" s="24">
        <f>=IF(2=INDEX(Assumptions!B:B,MATCH("Years to stability",Assumptions!A:A,0))+1,D14/(LOOKUP(2,1/('Cost of equity'!A:A="Stable cost of equity"),'Cost of equity'!B:B)-INDEX(Assumptions!B:B,MATCH("Stable growth rate",Assumptions!A:A,0))),"")</f>
      </c>
      <c r="E15" s="24">
        <f>=IF(3=INDEX(Assumptions!B:B,MATCH("Years to stability",Assumptions!A:A,0))+1,E14/(LOOKUP(2,1/('Cost of equity'!A:A="Stable cost of equity"),'Cost of equity'!B:B)-INDEX(Assumptions!B:B,MATCH("Stable growth rate",Assumptions!A:A,0))),"")</f>
      </c>
      <c r="F15" s="24">
        <f>=IF(4=INDEX(Assumptions!B:B,MATCH("Years to stability",Assumptions!A:A,0))+1,F14/(LOOKUP(2,1/('Cost of equity'!A:A="Stable cost of equity"),'Cost of equity'!B:B)-INDEX(Assumptions!B:B,MATCH("Stable growth rate",Assumptions!A:A,0))),"")</f>
      </c>
      <c r="G15" s="24">
        <f>=IF(5=INDEX(Assumptions!B:B,MATCH("Years to stability",Assumptions!A:A,0))+1,G14/(LOOKUP(2,1/('Cost of equity'!A:A="Stable cost of equity"),'Cost of equity'!B:B)-INDEX(Assumptions!B:B,MATCH("Stable growth rate",Assumptions!A:A,0))),"")</f>
      </c>
      <c r="H15" s="24">
        <f>=IF(6=INDEX(Assumptions!B:B,MATCH("Years to stability",Assumptions!A:A,0))+1,H14/(LOOKUP(2,1/('Cost of equity'!A:A="Stable cost of equity"),'Cost of equity'!B:B)-INDEX(Assumptions!B:B,MATCH("Stable growth rate",Assumptions!A:A,0))),"")</f>
      </c>
      <c r="I15" s="24">
        <f>=IF(7=INDEX(Assumptions!B:B,MATCH("Years to stability",Assumptions!A:A,0))+1,I14/(LOOKUP(2,1/('Cost of equity'!A:A="Stable cost of equity"),'Cost of equity'!B:B)-INDEX(Assumptions!B:B,MATCH("Stable growth rate",Assumptions!A:A,0))),"")</f>
      </c>
      <c r="J15" s="24">
        <f>=IF(8=INDEX(Assumptions!B:B,MATCH("Years to stability",Assumptions!A:A,0))+1,J14/(LOOKUP(2,1/('Cost of equity'!A:A="Stable cost of equity"),'Cost of equity'!B:B)-INDEX(Assumptions!B:B,MATCH("Stable growth rate",Assumptions!A:A,0))),"")</f>
      </c>
      <c r="K15" s="24">
        <f>=IF(9=INDEX(Assumptions!B:B,MATCH("Years to stability",Assumptions!A:A,0))+1,K14/(LOOKUP(2,1/('Cost of equity'!A:A="Stable cost of equity"),'Cost of equity'!B:B)-INDEX(Assumptions!B:B,MATCH("Stable growth rate",Assumptions!A:A,0))),"")</f>
      </c>
      <c r="L15" s="24">
        <f>=IF(10=INDEX(Assumptions!B:B,MATCH("Years to stability",Assumptions!A:A,0))+1,L14/(LOOKUP(2,1/('Cost of equity'!A:A="Stable cost of equity"),'Cost of equity'!B:B)-INDEX(Assumptions!B:B,MATCH("Stable growth rate",Assumptions!A:A,0))),"")</f>
      </c>
      <c r="M15" s="24">
        <f>=IF(11=INDEX(Assumptions!B:B,MATCH("Years to stability",Assumptions!A:A,0))+1,M14/(LOOKUP(2,1/('Cost of equity'!A:A="Stable cost of equity"),'Cost of equity'!B:B)-INDEX(Assumptions!B:B,MATCH("Stable growth rate",Assumptions!A:A,0))),"")</f>
      </c>
      <c r="N15" s="24">
        <f>=IF(12=INDEX(Assumptions!B:B,MATCH("Years to stability",Assumptions!A:A,0))+1,N14/(LOOKUP(2,1/('Cost of equity'!A:A="Stable cost of equity"),'Cost of equity'!B:B)-INDEX(Assumptions!B:B,MATCH("Stable growth rate",Assumptions!A:A,0))),"")</f>
      </c>
      <c r="O15" s="24">
        <f>=IF(13=INDEX(Assumptions!B:B,MATCH("Years to stability",Assumptions!A:A,0))+1,O14/(LOOKUP(2,1/('Cost of equity'!A:A="Stable cost of equity"),'Cost of equity'!B:B)-INDEX(Assumptions!B:B,MATCH("Stable growth rate",Assumptions!A:A,0))),"")</f>
      </c>
      <c r="P15" s="24">
        <f>=IF(14=INDEX(Assumptions!B:B,MATCH("Years to stability",Assumptions!A:A,0))+1,P14/(LOOKUP(2,1/('Cost of equity'!A:A="Stable cost of equity"),'Cost of equity'!B:B)-INDEX(Assumptions!B:B,MATCH("Stable growth rate",Assumptions!A:A,0))),"")</f>
      </c>
      <c r="Q15" s="24">
        <f>=IF(15=INDEX(Assumptions!B:B,MATCH("Years to stability",Assumptions!A:A,0))+1,Q14/(LOOKUP(2,1/('Cost of equity'!A:A="Stable cost of equity"),'Cost of equity'!B:B)-INDEX(Assumptions!B:B,MATCH("Stable growth rate",Assumptions!A:A,0))),"")</f>
      </c>
      <c r="R15" s="24">
        <f>=IF(16=INDEX(Assumptions!B:B,MATCH("Years to stability",Assumptions!A:A,0))+1,R14/(LOOKUP(2,1/('Cost of equity'!A:A="Stable cost of equity"),'Cost of equity'!B:B)-INDEX(Assumptions!B:B,MATCH("Stable growth rate",Assumptions!A:A,0))),"")</f>
      </c>
      <c r="S15" s="24">
        <f>=IF(17=INDEX(Assumptions!B:B,MATCH("Years to stability",Assumptions!A:A,0))+1,S14/(LOOKUP(2,1/('Cost of equity'!A:A="Stable cost of equity"),'Cost of equity'!B:B)-INDEX(Assumptions!B:B,MATCH("Stable growth rate",Assumptions!A:A,0))),"")</f>
      </c>
      <c r="T15" s="24">
        <f>=IF(18=INDEX(Assumptions!B:B,MATCH("Years to stability",Assumptions!A:A,0))+1,T14/(LOOKUP(2,1/('Cost of equity'!A:A="Stable cost of equity"),'Cost of equity'!B:B)-INDEX(Assumptions!B:B,MATCH("Stable growth rate",Assumptions!A:A,0))),"")</f>
      </c>
      <c r="U15" s="24">
        <f>=IF(19=INDEX(Assumptions!B:B,MATCH("Years to stability",Assumptions!A:A,0))+1,U14/(LOOKUP(2,1/('Cost of equity'!A:A="Stable cost of equity"),'Cost of equity'!B:B)-INDEX(Assumptions!B:B,MATCH("Stable growth rate",Assumptions!A:A,0))),"")</f>
      </c>
      <c r="V15" s="24">
        <f>=IF(20=INDEX(Assumptions!B:B,MATCH("Years to stability",Assumptions!A:A,0))+1,V14/(LOOKUP(2,1/('Cost of equity'!A:A="Stable cost of equity"),'Cost of equity'!B:B)-INDEX(Assumptions!B:B,MATCH("Stable growth rate",Assumptions!A:A,0))),"")</f>
      </c>
      <c r="W15" s="24">
        <f>=IF(21=INDEX(Assumptions!B:B,MATCH("Years to stability",Assumptions!A:A,0))+1,W14/(LOOKUP(2,1/('Cost of equity'!A:A="Stable cost of equity"),'Cost of equity'!B:B)-INDEX(Assumptions!B:B,MATCH("Stable growth rate",Assumptions!A:A,0))),"")</f>
      </c>
    </row>
    <row r="16" spans="1:23" x14ac:dyDescent="0.25">
      <c r="A16" s="11" t="s">
        <v>75</v>
      </c>
      <c r="B16" s="12"/>
      <c r="C16" s="24">
        <f>=IF(1&gt;INDEX(Assumptions!B:B,MATCH("Years to stability",Assumptions!A:A,0))+1,"",IF(1=INDEX(Assumptions!B:B,MATCH("Years to stability",Assumptions!A:A,0))+1,C15,C14))</f>
      </c>
      <c r="D16" s="24">
        <f>=IF(2&gt;INDEX(Assumptions!B:B,MATCH("Years to stability",Assumptions!A:A,0))+1,"",IF(2=INDEX(Assumptions!B:B,MATCH("Years to stability",Assumptions!A:A,0))+1,D15,D14))</f>
      </c>
      <c r="E16" s="24">
        <f>=IF(3&gt;INDEX(Assumptions!B:B,MATCH("Years to stability",Assumptions!A:A,0))+1,"",IF(3=INDEX(Assumptions!B:B,MATCH("Years to stability",Assumptions!A:A,0))+1,E15,E14))</f>
      </c>
      <c r="F16" s="24">
        <f>=IF(4&gt;INDEX(Assumptions!B:B,MATCH("Years to stability",Assumptions!A:A,0))+1,"",IF(4=INDEX(Assumptions!B:B,MATCH("Years to stability",Assumptions!A:A,0))+1,F15,F14))</f>
      </c>
      <c r="G16" s="24">
        <f>=IF(5&gt;INDEX(Assumptions!B:B,MATCH("Years to stability",Assumptions!A:A,0))+1,"",IF(5=INDEX(Assumptions!B:B,MATCH("Years to stability",Assumptions!A:A,0))+1,G15,G14))</f>
      </c>
      <c r="H16" s="24">
        <f>=IF(6&gt;INDEX(Assumptions!B:B,MATCH("Years to stability",Assumptions!A:A,0))+1,"",IF(6=INDEX(Assumptions!B:B,MATCH("Years to stability",Assumptions!A:A,0))+1,H15,H14))</f>
      </c>
      <c r="I16" s="24">
        <f>=IF(7&gt;INDEX(Assumptions!B:B,MATCH("Years to stability",Assumptions!A:A,0))+1,"",IF(7=INDEX(Assumptions!B:B,MATCH("Years to stability",Assumptions!A:A,0))+1,I15,I14))</f>
      </c>
      <c r="J16" s="24">
        <f>=IF(8&gt;INDEX(Assumptions!B:B,MATCH("Years to stability",Assumptions!A:A,0))+1,"",IF(8=INDEX(Assumptions!B:B,MATCH("Years to stability",Assumptions!A:A,0))+1,J15,J14))</f>
      </c>
      <c r="K16" s="24">
        <f>=IF(9&gt;INDEX(Assumptions!B:B,MATCH("Years to stability",Assumptions!A:A,0))+1,"",IF(9=INDEX(Assumptions!B:B,MATCH("Years to stability",Assumptions!A:A,0))+1,K15,K14))</f>
      </c>
      <c r="L16" s="24">
        <f>=IF(10&gt;INDEX(Assumptions!B:B,MATCH("Years to stability",Assumptions!A:A,0))+1,"",IF(10=INDEX(Assumptions!B:B,MATCH("Years to stability",Assumptions!A:A,0))+1,L15,L14))</f>
      </c>
      <c r="M16" s="24">
        <f>=IF(11&gt;INDEX(Assumptions!B:B,MATCH("Years to stability",Assumptions!A:A,0))+1,"",IF(11=INDEX(Assumptions!B:B,MATCH("Years to stability",Assumptions!A:A,0))+1,M15,M14))</f>
      </c>
      <c r="N16" s="24">
        <f>=IF(12&gt;INDEX(Assumptions!B:B,MATCH("Years to stability",Assumptions!A:A,0))+1,"",IF(12=INDEX(Assumptions!B:B,MATCH("Years to stability",Assumptions!A:A,0))+1,N15,N14))</f>
      </c>
      <c r="O16" s="24">
        <f>=IF(13&gt;INDEX(Assumptions!B:B,MATCH("Years to stability",Assumptions!A:A,0))+1,"",IF(13=INDEX(Assumptions!B:B,MATCH("Years to stability",Assumptions!A:A,0))+1,O15,O14))</f>
      </c>
      <c r="P16" s="24">
        <f>=IF(14&gt;INDEX(Assumptions!B:B,MATCH("Years to stability",Assumptions!A:A,0))+1,"",IF(14=INDEX(Assumptions!B:B,MATCH("Years to stability",Assumptions!A:A,0))+1,P15,P14))</f>
      </c>
      <c r="Q16" s="24">
        <f>=IF(15&gt;INDEX(Assumptions!B:B,MATCH("Years to stability",Assumptions!A:A,0))+1,"",IF(15=INDEX(Assumptions!B:B,MATCH("Years to stability",Assumptions!A:A,0))+1,Q15,Q14))</f>
      </c>
      <c r="R16" s="24">
        <f>=IF(16&gt;INDEX(Assumptions!B:B,MATCH("Years to stability",Assumptions!A:A,0))+1,"",IF(16=INDEX(Assumptions!B:B,MATCH("Years to stability",Assumptions!A:A,0))+1,R15,R14))</f>
      </c>
      <c r="S16" s="24">
        <f>=IF(17&gt;INDEX(Assumptions!B:B,MATCH("Years to stability",Assumptions!A:A,0))+1,"",IF(17=INDEX(Assumptions!B:B,MATCH("Years to stability",Assumptions!A:A,0))+1,S15,S14))</f>
      </c>
      <c r="T16" s="24">
        <f>=IF(18&gt;INDEX(Assumptions!B:B,MATCH("Years to stability",Assumptions!A:A,0))+1,"",IF(18=INDEX(Assumptions!B:B,MATCH("Years to stability",Assumptions!A:A,0))+1,T15,T14))</f>
      </c>
      <c r="U16" s="24">
        <f>=IF(19&gt;INDEX(Assumptions!B:B,MATCH("Years to stability",Assumptions!A:A,0))+1,"",IF(19=INDEX(Assumptions!B:B,MATCH("Years to stability",Assumptions!A:A,0))+1,U15,U14))</f>
      </c>
      <c r="V16" s="24">
        <f>=IF(20&gt;INDEX(Assumptions!B:B,MATCH("Years to stability",Assumptions!A:A,0))+1,"",IF(20=INDEX(Assumptions!B:B,MATCH("Years to stability",Assumptions!A:A,0))+1,V15,V14))</f>
      </c>
      <c r="W16" s="24">
        <f>=IF(21&gt;INDEX(Assumptions!B:B,MATCH("Years to stability",Assumptions!A:A,0))+1,"",IF(21=INDEX(Assumptions!B:B,MATCH("Years to stability",Assumptions!A:A,0))+1,W15,W14))</f>
      </c>
    </row>
    <row r="17" spans="1:23" x14ac:dyDescent="0.25">
      <c r="A17" s="11" t="s">
        <v>76</v>
      </c>
      <c r="B17" s="12"/>
      <c r="C17" s="27">
        <f>=IF(1&lt;=INDEX(Assumptions!B:B,MATCH("Years to stability",Assumptions!A:A,0))+1,(1+C18)^-MAX(0,(INDEX(Summary!B:B,MATCH("Latest financials date",Summary!A:A,0))+365-INDEX(Summary!B:B,MATCH("Valuation date",Summary!A:A,0)))/365),"")</f>
      </c>
      <c r="D17" s="27">
        <f>=IF(2&lt;=INDEX(Assumptions!B:B,MATCH("Years to stability",Assumptions!A:A,0))+1,IF(2=INDEX(Assumptions!B:B,MATCH("Years to stability",Assumptions!A:A,0))+1,C17,C17/(1+D18)),"")</f>
      </c>
      <c r="E17" s="27">
        <f>=IF(3&lt;=INDEX(Assumptions!B:B,MATCH("Years to stability",Assumptions!A:A,0))+1,IF(3=INDEX(Assumptions!B:B,MATCH("Years to stability",Assumptions!A:A,0))+1,D17,D17/(1+E18)),"")</f>
      </c>
      <c r="F17" s="27">
        <f>=IF(4&lt;=INDEX(Assumptions!B:B,MATCH("Years to stability",Assumptions!A:A,0))+1,IF(4=INDEX(Assumptions!B:B,MATCH("Years to stability",Assumptions!A:A,0))+1,E17,E17/(1+F18)),"")</f>
      </c>
      <c r="G17" s="27">
        <f>=IF(5&lt;=INDEX(Assumptions!B:B,MATCH("Years to stability",Assumptions!A:A,0))+1,IF(5=INDEX(Assumptions!B:B,MATCH("Years to stability",Assumptions!A:A,0))+1,F17,F17/(1+G18)),"")</f>
      </c>
      <c r="H17" s="27">
        <f>=IF(6&lt;=INDEX(Assumptions!B:B,MATCH("Years to stability",Assumptions!A:A,0))+1,IF(6=INDEX(Assumptions!B:B,MATCH("Years to stability",Assumptions!A:A,0))+1,G17,G17/(1+H18)),"")</f>
      </c>
      <c r="I17" s="27">
        <f>=IF(7&lt;=INDEX(Assumptions!B:B,MATCH("Years to stability",Assumptions!A:A,0))+1,IF(7=INDEX(Assumptions!B:B,MATCH("Years to stability",Assumptions!A:A,0))+1,H17,H17/(1+I18)),"")</f>
      </c>
      <c r="J17" s="27">
        <f>=IF(8&lt;=INDEX(Assumptions!B:B,MATCH("Years to stability",Assumptions!A:A,0))+1,IF(8=INDEX(Assumptions!B:B,MATCH("Years to stability",Assumptions!A:A,0))+1,I17,I17/(1+J18)),"")</f>
      </c>
      <c r="K17" s="27">
        <f>=IF(9&lt;=INDEX(Assumptions!B:B,MATCH("Years to stability",Assumptions!A:A,0))+1,IF(9=INDEX(Assumptions!B:B,MATCH("Years to stability",Assumptions!A:A,0))+1,J17,J17/(1+K18)),"")</f>
      </c>
      <c r="L17" s="27">
        <f>=IF(10&lt;=INDEX(Assumptions!B:B,MATCH("Years to stability",Assumptions!A:A,0))+1,IF(10=INDEX(Assumptions!B:B,MATCH("Years to stability",Assumptions!A:A,0))+1,K17,K17/(1+L18)),"")</f>
      </c>
      <c r="M17" s="27">
        <f>=IF(11&lt;=INDEX(Assumptions!B:B,MATCH("Years to stability",Assumptions!A:A,0))+1,IF(11=INDEX(Assumptions!B:B,MATCH("Years to stability",Assumptions!A:A,0))+1,L17,L17/(1+M18)),"")</f>
      </c>
      <c r="N17" s="27">
        <f>=IF(12&lt;=INDEX(Assumptions!B:B,MATCH("Years to stability",Assumptions!A:A,0))+1,IF(12=INDEX(Assumptions!B:B,MATCH("Years to stability",Assumptions!A:A,0))+1,M17,M17/(1+N18)),"")</f>
      </c>
      <c r="O17" s="27">
        <f>=IF(13&lt;=INDEX(Assumptions!B:B,MATCH("Years to stability",Assumptions!A:A,0))+1,IF(13=INDEX(Assumptions!B:B,MATCH("Years to stability",Assumptions!A:A,0))+1,N17,N17/(1+O18)),"")</f>
      </c>
      <c r="P17" s="27">
        <f>=IF(14&lt;=INDEX(Assumptions!B:B,MATCH("Years to stability",Assumptions!A:A,0))+1,IF(14=INDEX(Assumptions!B:B,MATCH("Years to stability",Assumptions!A:A,0))+1,O17,O17/(1+P18)),"")</f>
      </c>
      <c r="Q17" s="27">
        <f>=IF(15&lt;=INDEX(Assumptions!B:B,MATCH("Years to stability",Assumptions!A:A,0))+1,IF(15=INDEX(Assumptions!B:B,MATCH("Years to stability",Assumptions!A:A,0))+1,P17,P17/(1+Q18)),"")</f>
      </c>
      <c r="R17" s="27">
        <f>=IF(16&lt;=INDEX(Assumptions!B:B,MATCH("Years to stability",Assumptions!A:A,0))+1,IF(16=INDEX(Assumptions!B:B,MATCH("Years to stability",Assumptions!A:A,0))+1,Q17,Q17/(1+R18)),"")</f>
      </c>
      <c r="S17" s="27">
        <f>=IF(17&lt;=INDEX(Assumptions!B:B,MATCH("Years to stability",Assumptions!A:A,0))+1,IF(17=INDEX(Assumptions!B:B,MATCH("Years to stability",Assumptions!A:A,0))+1,R17,R17/(1+S18)),"")</f>
      </c>
      <c r="T17" s="27">
        <f>=IF(18&lt;=INDEX(Assumptions!B:B,MATCH("Years to stability",Assumptions!A:A,0))+1,IF(18=INDEX(Assumptions!B:B,MATCH("Years to stability",Assumptions!A:A,0))+1,S17,S17/(1+T18)),"")</f>
      </c>
      <c r="U17" s="27">
        <f>=IF(19&lt;=INDEX(Assumptions!B:B,MATCH("Years to stability",Assumptions!A:A,0))+1,IF(19=INDEX(Assumptions!B:B,MATCH("Years to stability",Assumptions!A:A,0))+1,T17,T17/(1+U18)),"")</f>
      </c>
      <c r="V17" s="27">
        <f>=IF(20&lt;=INDEX(Assumptions!B:B,MATCH("Years to stability",Assumptions!A:A,0))+1,IF(20=INDEX(Assumptions!B:B,MATCH("Years to stability",Assumptions!A:A,0))+1,U17,U17/(1+V18)),"")</f>
      </c>
      <c r="W17" s="27">
        <f>=IF(21&lt;=INDEX(Assumptions!B:B,MATCH("Years to stability",Assumptions!A:A,0))+1,IF(21=INDEX(Assumptions!B:B,MATCH("Years to stability",Assumptions!A:A,0))+1,V17,V17/(1+W18)),"")</f>
      </c>
    </row>
    <row r="18" spans="1:23" x14ac:dyDescent="0.25">
      <c r="A18" s="11" t="s">
        <v>77</v>
      </c>
      <c r="B18" s="12"/>
      <c r="C18" s="25">
        <f>=IF(1&lt;=INDEX(Assumptions!B:B,MATCH("Years to stability",Assumptions!A:A,0))+1,LOOKUP(2,1/('Cost of equity'!A:A="Cost of equity"),'Cost of equity'!B:B)+((MIN(1-1,INDEX(Assumptions!B:B,MATCH("Years to stability",Assumptions!A:A,0))-1))/(INDEX(Assumptions!B:B,MATCH("Years to stability",Assumptions!A:A,0))-1))*(LOOKUP(2,1/('Cost of equity'!A:A="Stable cost of equity"),'Cost of equity'!B:B)-LOOKUP(2,1/('Cost of equity'!A:A="Cost of equity"),'Cost of equity'!B:B)),"")</f>
      </c>
      <c r="D18" s="25">
        <f>=IF(2&lt;=INDEX(Assumptions!B:B,MATCH("Years to stability",Assumptions!A:A,0))+1,LOOKUP(2,1/('Cost of equity'!A:A="Cost of equity"),'Cost of equity'!B:B)+((MIN(2-1,INDEX(Assumptions!B:B,MATCH("Years to stability",Assumptions!A:A,0))-1))/(INDEX(Assumptions!B:B,MATCH("Years to stability",Assumptions!A:A,0))-1))*(LOOKUP(2,1/('Cost of equity'!A:A="Stable cost of equity"),'Cost of equity'!B:B)-LOOKUP(2,1/('Cost of equity'!A:A="Cost of equity"),'Cost of equity'!B:B)),"")</f>
      </c>
      <c r="E18" s="25">
        <f>=IF(3&lt;=INDEX(Assumptions!B:B,MATCH("Years to stability",Assumptions!A:A,0))+1,LOOKUP(2,1/('Cost of equity'!A:A="Cost of equity"),'Cost of equity'!B:B)+((MIN(3-1,INDEX(Assumptions!B:B,MATCH("Years to stability",Assumptions!A:A,0))-1))/(INDEX(Assumptions!B:B,MATCH("Years to stability",Assumptions!A:A,0))-1))*(LOOKUP(2,1/('Cost of equity'!A:A="Stable cost of equity"),'Cost of equity'!B:B)-LOOKUP(2,1/('Cost of equity'!A:A="Cost of equity"),'Cost of equity'!B:B)),"")</f>
      </c>
      <c r="F18" s="25">
        <f>=IF(4&lt;=INDEX(Assumptions!B:B,MATCH("Years to stability",Assumptions!A:A,0))+1,LOOKUP(2,1/('Cost of equity'!A:A="Cost of equity"),'Cost of equity'!B:B)+((MIN(4-1,INDEX(Assumptions!B:B,MATCH("Years to stability",Assumptions!A:A,0))-1))/(INDEX(Assumptions!B:B,MATCH("Years to stability",Assumptions!A:A,0))-1))*(LOOKUP(2,1/('Cost of equity'!A:A="Stable cost of equity"),'Cost of equity'!B:B)-LOOKUP(2,1/('Cost of equity'!A:A="Cost of equity"),'Cost of equity'!B:B)),"")</f>
      </c>
      <c r="G18" s="25">
        <f>=IF(5&lt;=INDEX(Assumptions!B:B,MATCH("Years to stability",Assumptions!A:A,0))+1,LOOKUP(2,1/('Cost of equity'!A:A="Cost of equity"),'Cost of equity'!B:B)+((MIN(5-1,INDEX(Assumptions!B:B,MATCH("Years to stability",Assumptions!A:A,0))-1))/(INDEX(Assumptions!B:B,MATCH("Years to stability",Assumptions!A:A,0))-1))*(LOOKUP(2,1/('Cost of equity'!A:A="Stable cost of equity"),'Cost of equity'!B:B)-LOOKUP(2,1/('Cost of equity'!A:A="Cost of equity"),'Cost of equity'!B:B)),"")</f>
      </c>
      <c r="H18" s="25">
        <f>=IF(6&lt;=INDEX(Assumptions!B:B,MATCH("Years to stability",Assumptions!A:A,0))+1,LOOKUP(2,1/('Cost of equity'!A:A="Cost of equity"),'Cost of equity'!B:B)+((MIN(6-1,INDEX(Assumptions!B:B,MATCH("Years to stability",Assumptions!A:A,0))-1))/(INDEX(Assumptions!B:B,MATCH("Years to stability",Assumptions!A:A,0))-1))*(LOOKUP(2,1/('Cost of equity'!A:A="Stable cost of equity"),'Cost of equity'!B:B)-LOOKUP(2,1/('Cost of equity'!A:A="Cost of equity"),'Cost of equity'!B:B)),"")</f>
      </c>
      <c r="I18" s="25">
        <f>=IF(7&lt;=INDEX(Assumptions!B:B,MATCH("Years to stability",Assumptions!A:A,0))+1,LOOKUP(2,1/('Cost of equity'!A:A="Cost of equity"),'Cost of equity'!B:B)+((MIN(7-1,INDEX(Assumptions!B:B,MATCH("Years to stability",Assumptions!A:A,0))-1))/(INDEX(Assumptions!B:B,MATCH("Years to stability",Assumptions!A:A,0))-1))*(LOOKUP(2,1/('Cost of equity'!A:A="Stable cost of equity"),'Cost of equity'!B:B)-LOOKUP(2,1/('Cost of equity'!A:A="Cost of equity"),'Cost of equity'!B:B)),"")</f>
      </c>
      <c r="J18" s="25">
        <f>=IF(8&lt;=INDEX(Assumptions!B:B,MATCH("Years to stability",Assumptions!A:A,0))+1,LOOKUP(2,1/('Cost of equity'!A:A="Cost of equity"),'Cost of equity'!B:B)+((MIN(8-1,INDEX(Assumptions!B:B,MATCH("Years to stability",Assumptions!A:A,0))-1))/(INDEX(Assumptions!B:B,MATCH("Years to stability",Assumptions!A:A,0))-1))*(LOOKUP(2,1/('Cost of equity'!A:A="Stable cost of equity"),'Cost of equity'!B:B)-LOOKUP(2,1/('Cost of equity'!A:A="Cost of equity"),'Cost of equity'!B:B)),"")</f>
      </c>
      <c r="K18" s="25">
        <f>=IF(9&lt;=INDEX(Assumptions!B:B,MATCH("Years to stability",Assumptions!A:A,0))+1,LOOKUP(2,1/('Cost of equity'!A:A="Cost of equity"),'Cost of equity'!B:B)+((MIN(9-1,INDEX(Assumptions!B:B,MATCH("Years to stability",Assumptions!A:A,0))-1))/(INDEX(Assumptions!B:B,MATCH("Years to stability",Assumptions!A:A,0))-1))*(LOOKUP(2,1/('Cost of equity'!A:A="Stable cost of equity"),'Cost of equity'!B:B)-LOOKUP(2,1/('Cost of equity'!A:A="Cost of equity"),'Cost of equity'!B:B)),"")</f>
      </c>
      <c r="L18" s="25">
        <f>=IF(10&lt;=INDEX(Assumptions!B:B,MATCH("Years to stability",Assumptions!A:A,0))+1,LOOKUP(2,1/('Cost of equity'!A:A="Cost of equity"),'Cost of equity'!B:B)+((MIN(10-1,INDEX(Assumptions!B:B,MATCH("Years to stability",Assumptions!A:A,0))-1))/(INDEX(Assumptions!B:B,MATCH("Years to stability",Assumptions!A:A,0))-1))*(LOOKUP(2,1/('Cost of equity'!A:A="Stable cost of equity"),'Cost of equity'!B:B)-LOOKUP(2,1/('Cost of equity'!A:A="Cost of equity"),'Cost of equity'!B:B)),"")</f>
      </c>
      <c r="M18" s="25">
        <f>=IF(11&lt;=INDEX(Assumptions!B:B,MATCH("Years to stability",Assumptions!A:A,0))+1,LOOKUP(2,1/('Cost of equity'!A:A="Cost of equity"),'Cost of equity'!B:B)+((MIN(11-1,INDEX(Assumptions!B:B,MATCH("Years to stability",Assumptions!A:A,0))-1))/(INDEX(Assumptions!B:B,MATCH("Years to stability",Assumptions!A:A,0))-1))*(LOOKUP(2,1/('Cost of equity'!A:A="Stable cost of equity"),'Cost of equity'!B:B)-LOOKUP(2,1/('Cost of equity'!A:A="Cost of equity"),'Cost of equity'!B:B)),"")</f>
      </c>
      <c r="N18" s="25">
        <f>=IF(12&lt;=INDEX(Assumptions!B:B,MATCH("Years to stability",Assumptions!A:A,0))+1,LOOKUP(2,1/('Cost of equity'!A:A="Cost of equity"),'Cost of equity'!B:B)+((MIN(12-1,INDEX(Assumptions!B:B,MATCH("Years to stability",Assumptions!A:A,0))-1))/(INDEX(Assumptions!B:B,MATCH("Years to stability",Assumptions!A:A,0))-1))*(LOOKUP(2,1/('Cost of equity'!A:A="Stable cost of equity"),'Cost of equity'!B:B)-LOOKUP(2,1/('Cost of equity'!A:A="Cost of equity"),'Cost of equity'!B:B)),"")</f>
      </c>
      <c r="O18" s="25">
        <f>=IF(13&lt;=INDEX(Assumptions!B:B,MATCH("Years to stability",Assumptions!A:A,0))+1,LOOKUP(2,1/('Cost of equity'!A:A="Cost of equity"),'Cost of equity'!B:B)+((MIN(13-1,INDEX(Assumptions!B:B,MATCH("Years to stability",Assumptions!A:A,0))-1))/(INDEX(Assumptions!B:B,MATCH("Years to stability",Assumptions!A:A,0))-1))*(LOOKUP(2,1/('Cost of equity'!A:A="Stable cost of equity"),'Cost of equity'!B:B)-LOOKUP(2,1/('Cost of equity'!A:A="Cost of equity"),'Cost of equity'!B:B)),"")</f>
      </c>
      <c r="P18" s="25">
        <f>=IF(14&lt;=INDEX(Assumptions!B:B,MATCH("Years to stability",Assumptions!A:A,0))+1,LOOKUP(2,1/('Cost of equity'!A:A="Cost of equity"),'Cost of equity'!B:B)+((MIN(14-1,INDEX(Assumptions!B:B,MATCH("Years to stability",Assumptions!A:A,0))-1))/(INDEX(Assumptions!B:B,MATCH("Years to stability",Assumptions!A:A,0))-1))*(LOOKUP(2,1/('Cost of equity'!A:A="Stable cost of equity"),'Cost of equity'!B:B)-LOOKUP(2,1/('Cost of equity'!A:A="Cost of equity"),'Cost of equity'!B:B)),"")</f>
      </c>
      <c r="Q18" s="25">
        <f>=IF(15&lt;=INDEX(Assumptions!B:B,MATCH("Years to stability",Assumptions!A:A,0))+1,LOOKUP(2,1/('Cost of equity'!A:A="Cost of equity"),'Cost of equity'!B:B)+((MIN(15-1,INDEX(Assumptions!B:B,MATCH("Years to stability",Assumptions!A:A,0))-1))/(INDEX(Assumptions!B:B,MATCH("Years to stability",Assumptions!A:A,0))-1))*(LOOKUP(2,1/('Cost of equity'!A:A="Stable cost of equity"),'Cost of equity'!B:B)-LOOKUP(2,1/('Cost of equity'!A:A="Cost of equity"),'Cost of equity'!B:B)),"")</f>
      </c>
      <c r="R18" s="25">
        <f>=IF(16&lt;=INDEX(Assumptions!B:B,MATCH("Years to stability",Assumptions!A:A,0))+1,LOOKUP(2,1/('Cost of equity'!A:A="Cost of equity"),'Cost of equity'!B:B)+((MIN(16-1,INDEX(Assumptions!B:B,MATCH("Years to stability",Assumptions!A:A,0))-1))/(INDEX(Assumptions!B:B,MATCH("Years to stability",Assumptions!A:A,0))-1))*(LOOKUP(2,1/('Cost of equity'!A:A="Stable cost of equity"),'Cost of equity'!B:B)-LOOKUP(2,1/('Cost of equity'!A:A="Cost of equity"),'Cost of equity'!B:B)),"")</f>
      </c>
      <c r="S18" s="25">
        <f>=IF(17&lt;=INDEX(Assumptions!B:B,MATCH("Years to stability",Assumptions!A:A,0))+1,LOOKUP(2,1/('Cost of equity'!A:A="Cost of equity"),'Cost of equity'!B:B)+((MIN(17-1,INDEX(Assumptions!B:B,MATCH("Years to stability",Assumptions!A:A,0))-1))/(INDEX(Assumptions!B:B,MATCH("Years to stability",Assumptions!A:A,0))-1))*(LOOKUP(2,1/('Cost of equity'!A:A="Stable cost of equity"),'Cost of equity'!B:B)-LOOKUP(2,1/('Cost of equity'!A:A="Cost of equity"),'Cost of equity'!B:B)),"")</f>
      </c>
      <c r="T18" s="25">
        <f>=IF(18&lt;=INDEX(Assumptions!B:B,MATCH("Years to stability",Assumptions!A:A,0))+1,LOOKUP(2,1/('Cost of equity'!A:A="Cost of equity"),'Cost of equity'!B:B)+((MIN(18-1,INDEX(Assumptions!B:B,MATCH("Years to stability",Assumptions!A:A,0))-1))/(INDEX(Assumptions!B:B,MATCH("Years to stability",Assumptions!A:A,0))-1))*(LOOKUP(2,1/('Cost of equity'!A:A="Stable cost of equity"),'Cost of equity'!B:B)-LOOKUP(2,1/('Cost of equity'!A:A="Cost of equity"),'Cost of equity'!B:B)),"")</f>
      </c>
      <c r="U18" s="25">
        <f>=IF(19&lt;=INDEX(Assumptions!B:B,MATCH("Years to stability",Assumptions!A:A,0))+1,LOOKUP(2,1/('Cost of equity'!A:A="Cost of equity"),'Cost of equity'!B:B)+((MIN(19-1,INDEX(Assumptions!B:B,MATCH("Years to stability",Assumptions!A:A,0))-1))/(INDEX(Assumptions!B:B,MATCH("Years to stability",Assumptions!A:A,0))-1))*(LOOKUP(2,1/('Cost of equity'!A:A="Stable cost of equity"),'Cost of equity'!B:B)-LOOKUP(2,1/('Cost of equity'!A:A="Cost of equity"),'Cost of equity'!B:B)),"")</f>
      </c>
      <c r="V18" s="25">
        <f>=IF(20&lt;=INDEX(Assumptions!B:B,MATCH("Years to stability",Assumptions!A:A,0))+1,LOOKUP(2,1/('Cost of equity'!A:A="Cost of equity"),'Cost of equity'!B:B)+((MIN(20-1,INDEX(Assumptions!B:B,MATCH("Years to stability",Assumptions!A:A,0))-1))/(INDEX(Assumptions!B:B,MATCH("Years to stability",Assumptions!A:A,0))-1))*(LOOKUP(2,1/('Cost of equity'!A:A="Stable cost of equity"),'Cost of equity'!B:B)-LOOKUP(2,1/('Cost of equity'!A:A="Cost of equity"),'Cost of equity'!B:B)),"")</f>
      </c>
      <c r="W18" s="25">
        <f>=IF(21&lt;=INDEX(Assumptions!B:B,MATCH("Years to stability",Assumptions!A:A,0))+1,LOOKUP(2,1/('Cost of equity'!A:A="Cost of equity"),'Cost of equity'!B:B)+((MIN(21-1,INDEX(Assumptions!B:B,MATCH("Years to stability",Assumptions!A:A,0))-1))/(INDEX(Assumptions!B:B,MATCH("Years to stability",Assumptions!A:A,0))-1))*(LOOKUP(2,1/('Cost of equity'!A:A="Stable cost of equity"),'Cost of equity'!B:B)-LOOKUP(2,1/('Cost of equity'!A:A="Cost of equity"),'Cost of equity'!B:B)),"")</f>
      </c>
    </row>
    <row r="19" spans="1:23" x14ac:dyDescent="0.25">
      <c r="A19" s="11" t="s">
        <v>78</v>
      </c>
      <c r="B19" s="12"/>
      <c r="C19" s="24">
        <f>=IF(1&lt;=INDEX(Assumptions!B:B,MATCH("Years to stability",Assumptions!A:A,0))+1,C16*C17,"")</f>
      </c>
      <c r="D19" s="24">
        <f>=IF(2&lt;=INDEX(Assumptions!B:B,MATCH("Years to stability",Assumptions!A:A,0))+1,D16*D17,"")</f>
      </c>
      <c r="E19" s="24">
        <f>=IF(3&lt;=INDEX(Assumptions!B:B,MATCH("Years to stability",Assumptions!A:A,0))+1,E16*E17,"")</f>
      </c>
      <c r="F19" s="24">
        <f>=IF(4&lt;=INDEX(Assumptions!B:B,MATCH("Years to stability",Assumptions!A:A,0))+1,F16*F17,"")</f>
      </c>
      <c r="G19" s="24">
        <f>=IF(5&lt;=INDEX(Assumptions!B:B,MATCH("Years to stability",Assumptions!A:A,0))+1,G16*G17,"")</f>
      </c>
      <c r="H19" s="24">
        <f>=IF(6&lt;=INDEX(Assumptions!B:B,MATCH("Years to stability",Assumptions!A:A,0))+1,H16*H17,"")</f>
      </c>
      <c r="I19" s="24">
        <f>=IF(7&lt;=INDEX(Assumptions!B:B,MATCH("Years to stability",Assumptions!A:A,0))+1,I16*I17,"")</f>
      </c>
      <c r="J19" s="24">
        <f>=IF(8&lt;=INDEX(Assumptions!B:B,MATCH("Years to stability",Assumptions!A:A,0))+1,J16*J17,"")</f>
      </c>
      <c r="K19" s="24">
        <f>=IF(9&lt;=INDEX(Assumptions!B:B,MATCH("Years to stability",Assumptions!A:A,0))+1,K16*K17,"")</f>
      </c>
      <c r="L19" s="24">
        <f>=IF(10&lt;=INDEX(Assumptions!B:B,MATCH("Years to stability",Assumptions!A:A,0))+1,L16*L17,"")</f>
      </c>
      <c r="M19" s="24">
        <f>=IF(11&lt;=INDEX(Assumptions!B:B,MATCH("Years to stability",Assumptions!A:A,0))+1,M16*M17,"")</f>
      </c>
      <c r="N19" s="24">
        <f>=IF(12&lt;=INDEX(Assumptions!B:B,MATCH("Years to stability",Assumptions!A:A,0))+1,N16*N17,"")</f>
      </c>
      <c r="O19" s="24">
        <f>=IF(13&lt;=INDEX(Assumptions!B:B,MATCH("Years to stability",Assumptions!A:A,0))+1,O16*O17,"")</f>
      </c>
      <c r="P19" s="24">
        <f>=IF(14&lt;=INDEX(Assumptions!B:B,MATCH("Years to stability",Assumptions!A:A,0))+1,P16*P17,"")</f>
      </c>
      <c r="Q19" s="24">
        <f>=IF(15&lt;=INDEX(Assumptions!B:B,MATCH("Years to stability",Assumptions!A:A,0))+1,Q16*Q17,"")</f>
      </c>
      <c r="R19" s="24">
        <f>=IF(16&lt;=INDEX(Assumptions!B:B,MATCH("Years to stability",Assumptions!A:A,0))+1,R16*R17,"")</f>
      </c>
      <c r="S19" s="24">
        <f>=IF(17&lt;=INDEX(Assumptions!B:B,MATCH("Years to stability",Assumptions!A:A,0))+1,S16*S17,"")</f>
      </c>
      <c r="T19" s="24">
        <f>=IF(18&lt;=INDEX(Assumptions!B:B,MATCH("Years to stability",Assumptions!A:A,0))+1,T16*T17,"")</f>
      </c>
      <c r="U19" s="24">
        <f>=IF(19&lt;=INDEX(Assumptions!B:B,MATCH("Years to stability",Assumptions!A:A,0))+1,U16*U17,"")</f>
      </c>
      <c r="V19" s="24">
        <f>=IF(20&lt;=INDEX(Assumptions!B:B,MATCH("Years to stability",Assumptions!A:A,0))+1,V16*V17,"")</f>
      </c>
      <c r="W19" s="24">
        <f>=IF(21&lt;=INDEX(Assumptions!B:B,MATCH("Years to stability",Assumptions!A:A,0))+1,W16*W17,"")</f>
      </c>
    </row>
    <row r="21" spans="1:23" x14ac:dyDescent="0.25">
      <c r="A21" s="11" t="s">
        <v>79</v>
      </c>
      <c r="B21" s="24">
        <f>=SUM(C19:W19)</f>
      </c>
      <c r="C21" s="12"/>
      <c r="D21" s="12"/>
      <c r="E21" s="12"/>
      <c r="F21" s="12"/>
      <c r="G21" s="12"/>
      <c r="H21" s="12"/>
      <c r="I21" s="12"/>
      <c r="J21" s="12"/>
      <c r="K21" s="12"/>
      <c r="L21" s="12"/>
      <c r="M21" s="12"/>
      <c r="N21" s="12"/>
      <c r="O21" s="12"/>
      <c r="P21" s="12"/>
      <c r="Q21" s="12"/>
      <c r="R21" s="12"/>
      <c r="S21" s="12"/>
      <c r="T21" s="12"/>
      <c r="U21" s="12"/>
      <c r="V21" s="12"/>
      <c r="W21" s="12"/>
    </row>
    <row r="22" spans="1:23" x14ac:dyDescent="0.25">
      <c r="A22" s="11" t="s">
        <v>80</v>
      </c>
      <c r="B22" s="24">
        <f>=B21-B25</f>
      </c>
      <c r="C22" s="12"/>
      <c r="D22" s="12"/>
      <c r="E22" s="12"/>
      <c r="F22" s="12"/>
      <c r="G22" s="12"/>
      <c r="H22" s="12"/>
      <c r="I22" s="12"/>
      <c r="J22" s="12"/>
      <c r="K22" s="12"/>
      <c r="L22" s="12"/>
      <c r="M22" s="12"/>
      <c r="N22" s="12"/>
      <c r="O22" s="12"/>
      <c r="P22" s="12"/>
      <c r="Q22" s="12"/>
      <c r="R22" s="12"/>
      <c r="S22" s="12"/>
      <c r="T22" s="12"/>
      <c r="U22" s="12"/>
      <c r="V22" s="12"/>
      <c r="W22" s="12"/>
    </row>
    <row r="23" spans="1:23" x14ac:dyDescent="0.25">
      <c r="A23" s="11" t="s">
        <v>81</v>
      </c>
      <c r="B23" s="14">
        <v>0.014</v>
      </c>
      <c r="C23" s="12"/>
      <c r="D23" s="12"/>
      <c r="E23" s="12"/>
      <c r="F23" s="12"/>
      <c r="G23" s="12"/>
      <c r="H23" s="12"/>
      <c r="I23" s="12"/>
      <c r="J23" s="12"/>
      <c r="K23" s="12"/>
      <c r="L23" s="12"/>
      <c r="M23" s="12"/>
      <c r="N23" s="12"/>
      <c r="O23" s="12"/>
      <c r="P23" s="12"/>
      <c r="Q23" s="12"/>
      <c r="R23" s="12"/>
      <c r="S23" s="12"/>
      <c r="T23" s="12"/>
      <c r="U23" s="12"/>
      <c r="V23" s="12"/>
      <c r="W23" s="12"/>
    </row>
    <row r="24" spans="1:23" x14ac:dyDescent="0.25">
      <c r="A24" s="11" t="s">
        <v>82</v>
      </c>
      <c r="B24" s="25">
        <f>=INDEX(Assumptions!B:B,MATCH("Recovery ratio",Assumptions!A:A,0))</f>
      </c>
      <c r="C24" s="12"/>
      <c r="D24" s="12"/>
      <c r="E24" s="12"/>
      <c r="F24" s="12"/>
      <c r="G24" s="12"/>
      <c r="H24" s="12"/>
      <c r="I24" s="12"/>
      <c r="J24" s="12"/>
      <c r="K24" s="12"/>
      <c r="L24" s="12"/>
      <c r="M24" s="12"/>
      <c r="N24" s="12"/>
      <c r="O24" s="12"/>
      <c r="P24" s="12"/>
      <c r="Q24" s="12"/>
      <c r="R24" s="12"/>
      <c r="S24" s="12"/>
      <c r="T24" s="12"/>
      <c r="U24" s="12"/>
      <c r="V24" s="12"/>
      <c r="W24" s="12"/>
    </row>
    <row r="25" spans="1:23" x14ac:dyDescent="0.25">
      <c r="A25" s="11" t="s">
        <v>83</v>
      </c>
      <c r="B25" s="24">
        <f>=(1-B23)*B21+B23*(B24*B11)</f>
      </c>
      <c r="C25" s="12"/>
      <c r="D25" s="12"/>
      <c r="E25" s="12"/>
      <c r="F25" s="12"/>
      <c r="G25" s="12"/>
      <c r="H25" s="12"/>
      <c r="I25" s="12"/>
      <c r="J25" s="12"/>
      <c r="K25" s="12"/>
      <c r="L25" s="12"/>
      <c r="M25" s="12"/>
      <c r="N25" s="12"/>
      <c r="O25" s="12"/>
      <c r="P25" s="12"/>
      <c r="Q25" s="12"/>
      <c r="R25" s="12"/>
      <c r="S25" s="12"/>
      <c r="T25" s="12"/>
      <c r="U25" s="12"/>
      <c r="V25" s="12"/>
      <c r="W25" s="12"/>
    </row>
    <row r="26" spans="1:23" x14ac:dyDescent="0.25">
      <c r="A26" s="11" t="s">
        <v>84</v>
      </c>
      <c r="B26" s="28">
        <v>1204.144809131583</v>
      </c>
      <c r="C26" s="12"/>
      <c r="D26" s="12"/>
      <c r="E26" s="12"/>
      <c r="F26" s="12"/>
      <c r="G26" s="12"/>
      <c r="H26" s="12"/>
      <c r="I26" s="12"/>
      <c r="J26" s="12"/>
      <c r="K26" s="12"/>
      <c r="L26" s="12"/>
      <c r="M26" s="12"/>
      <c r="N26" s="12"/>
      <c r="O26" s="12"/>
      <c r="P26" s="12"/>
      <c r="Q26" s="12"/>
      <c r="R26" s="12"/>
      <c r="S26" s="12"/>
      <c r="T26" s="12"/>
      <c r="U26" s="12"/>
      <c r="V26" s="12"/>
      <c r="W26" s="12"/>
    </row>
    <row r="27" spans="1:23" x14ac:dyDescent="0.25">
      <c r="A27" s="11" t="s">
        <v>85</v>
      </c>
      <c r="B27" s="28">
        <v>0</v>
      </c>
      <c r="C27" s="12"/>
      <c r="D27" s="12"/>
      <c r="E27" s="12"/>
      <c r="F27" s="12"/>
      <c r="G27" s="12"/>
      <c r="H27" s="12"/>
      <c r="I27" s="12"/>
      <c r="J27" s="12"/>
      <c r="K27" s="12"/>
      <c r="L27" s="12"/>
      <c r="M27" s="12"/>
      <c r="N27" s="12"/>
      <c r="O27" s="12"/>
      <c r="P27" s="12"/>
      <c r="Q27" s="12"/>
      <c r="R27" s="12"/>
      <c r="S27" s="12"/>
      <c r="T27" s="12"/>
      <c r="U27" s="12"/>
      <c r="V27" s="12"/>
      <c r="W27" s="12"/>
    </row>
    <row r="28" spans="1:23" x14ac:dyDescent="0.25">
      <c r="A28" s="11" t="s">
        <v>86</v>
      </c>
      <c r="B28" s="24">
        <f>=B25-B26-B27</f>
      </c>
      <c r="C28" s="12"/>
      <c r="D28" s="12"/>
      <c r="E28" s="12"/>
      <c r="F28" s="12"/>
      <c r="G28" s="12"/>
      <c r="H28" s="12"/>
      <c r="I28" s="12"/>
      <c r="J28" s="12"/>
      <c r="K28" s="12"/>
      <c r="L28" s="12"/>
      <c r="M28" s="12"/>
      <c r="N28" s="12"/>
      <c r="O28" s="12"/>
      <c r="P28" s="12"/>
      <c r="Q28" s="12"/>
      <c r="R28" s="12"/>
      <c r="S28" s="12"/>
      <c r="T28" s="12"/>
      <c r="U28" s="12"/>
      <c r="V28" s="12"/>
      <c r="W28" s="12"/>
    </row>
    <row r="29" spans="1:23" x14ac:dyDescent="0.25">
      <c r="A29" s="11" t="s">
        <v>87</v>
      </c>
      <c r="B29" s="29">
        <f>=Summary!B20</f>
      </c>
      <c r="C29" s="12"/>
      <c r="D29" s="12"/>
      <c r="E29" s="12"/>
      <c r="F29" s="12"/>
      <c r="G29" s="12"/>
      <c r="H29" s="12"/>
      <c r="I29" s="12"/>
      <c r="J29" s="12"/>
      <c r="K29" s="12"/>
      <c r="L29" s="12"/>
      <c r="M29" s="12"/>
      <c r="N29" s="12"/>
      <c r="O29" s="12"/>
      <c r="P29" s="12"/>
      <c r="Q29" s="12"/>
      <c r="R29" s="12"/>
      <c r="S29" s="12"/>
      <c r="T29" s="12"/>
      <c r="U29" s="12"/>
      <c r="V29" s="12"/>
      <c r="W29" s="12"/>
    </row>
    <row r="30" spans="1:23" x14ac:dyDescent="0.25">
      <c r="A30" s="11" t="s">
        <v>88</v>
      </c>
      <c r="B30" s="30">
        <f>=B28/B29</f>
      </c>
      <c r="C30" s="12"/>
      <c r="D30" s="12"/>
      <c r="E30" s="12"/>
      <c r="F30" s="12"/>
      <c r="G30" s="12"/>
      <c r="H30" s="12"/>
      <c r="I30" s="12"/>
      <c r="J30" s="12"/>
      <c r="K30" s="12"/>
      <c r="L30" s="12"/>
      <c r="M30" s="12"/>
      <c r="N30" s="12"/>
      <c r="O30" s="12"/>
      <c r="P30" s="12"/>
      <c r="Q30" s="12"/>
      <c r="R30" s="12"/>
      <c r="S30" s="12"/>
      <c r="T30" s="12"/>
      <c r="U30" s="12"/>
      <c r="V30" s="12"/>
      <c r="W30" s="12"/>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owGridLines="0"/>
  </sheetViews>
  <sheetFormatPr defaultRowHeight="15" outlineLevelRow="0" outlineLevelCol="0" x14ac:dyDescent="55"/>
  <cols>
    <col min="1" max="1" width="25" style="6" customWidth="1"/>
    <col min="2" max="2" width="15" style="7" customWidth="1"/>
    <col min="3" max="3" width="15" style="6" customWidth="1"/>
    <col min="4" max="6" width="20" style="7" customWidth="1"/>
  </cols>
  <sheetData>
    <row r="1" spans="1:6" s="8" customFormat="1" x14ac:dyDescent="0.25">
      <c r="A1" s="9" t="s">
        <v>89</v>
      </c>
      <c r="B1" s="10"/>
      <c r="C1" s="9"/>
      <c r="D1" s="10"/>
      <c r="E1" s="10"/>
      <c r="F1" s="10"/>
    </row>
    <row r="2" spans="1:6" x14ac:dyDescent="0.25">
      <c r="A2" s="11" t="s">
        <v>10</v>
      </c>
      <c r="B2" s="12"/>
      <c r="C2" s="11"/>
      <c r="D2" s="12"/>
      <c r="E2" s="12"/>
      <c r="F2" s="12"/>
    </row>
    <row r="4" spans="1:6" s="17" customFormat="1" x14ac:dyDescent="0.25">
      <c r="A4" s="18" t="s">
        <v>90</v>
      </c>
      <c r="B4" s="31"/>
      <c r="C4" s="18"/>
      <c r="D4" s="31"/>
      <c r="E4" s="31"/>
      <c r="F4" s="31"/>
    </row>
    <row r="5" spans="1:6" s="32" customFormat="1" x14ac:dyDescent="0.25">
      <c r="A5" s="21" t="s">
        <v>91</v>
      </c>
      <c r="B5" s="22" t="s">
        <v>92</v>
      </c>
      <c r="C5" s="21" t="s">
        <v>93</v>
      </c>
      <c r="D5" s="22" t="s">
        <v>94</v>
      </c>
      <c r="E5" s="22" t="s">
        <v>95</v>
      </c>
      <c r="F5" s="22" t="s">
        <v>96</v>
      </c>
    </row>
    <row r="6" spans="1:6" x14ac:dyDescent="0.25">
      <c r="A6" s="33">
        <v>14612299</v>
      </c>
      <c r="B6" s="13">
        <v>64.92</v>
      </c>
      <c r="C6" s="34">
        <v>3.86</v>
      </c>
      <c r="D6" s="14">
        <v>0.6604</v>
      </c>
      <c r="E6" s="14">
        <v>0</v>
      </c>
      <c r="F6" s="35"/>
    </row>
    <row r="8" spans="1:6" s="17" customFormat="1" x14ac:dyDescent="0.25">
      <c r="A8" s="18" t="s">
        <v>97</v>
      </c>
      <c r="B8" s="31"/>
      <c r="C8" s="18"/>
      <c r="D8" s="31"/>
      <c r="E8" s="31"/>
      <c r="F8" s="31"/>
    </row>
    <row r="9" spans="1:6" s="32" customFormat="1" x14ac:dyDescent="0.25">
      <c r="A9" s="21" t="s">
        <v>98</v>
      </c>
      <c r="B9" s="22" t="s">
        <v>96</v>
      </c>
      <c r="C9" s="21" t="s">
        <v>99</v>
      </c>
      <c r="D9" s="36"/>
      <c r="E9" s="36"/>
      <c r="F9" s="36"/>
    </row>
    <row r="10" spans="1:6" x14ac:dyDescent="0.25">
      <c r="A10" s="11" t="s">
        <v>100</v>
      </c>
      <c r="B10" s="16">
        <v>0</v>
      </c>
      <c r="C10" s="11" t="s">
        <v>62</v>
      </c>
      <c r="D10" s="12"/>
      <c r="E10" s="12"/>
      <c r="F10" s="12"/>
    </row>
    <row r="11" spans="1:6" x14ac:dyDescent="0.25">
      <c r="A11" s="11" t="s">
        <v>101</v>
      </c>
      <c r="B11" s="16">
        <v>0</v>
      </c>
      <c r="C11" s="11" t="s">
        <v>62</v>
      </c>
      <c r="D11" s="12"/>
      <c r="E11" s="12"/>
      <c r="F11" s="12"/>
    </row>
    <row r="12" spans="1:6" x14ac:dyDescent="0.25">
      <c r="A12" s="11" t="s">
        <v>102</v>
      </c>
      <c r="B12" s="16">
        <v>0</v>
      </c>
      <c r="C12" s="11" t="s">
        <v>62</v>
      </c>
      <c r="D12" s="12"/>
      <c r="E12" s="12"/>
      <c r="F12" s="12"/>
    </row>
    <row r="13" spans="1:6" x14ac:dyDescent="0.25">
      <c r="A13" s="11" t="s">
        <v>103</v>
      </c>
      <c r="B13" s="16">
        <v>0</v>
      </c>
      <c r="C13" s="11" t="s">
        <v>62</v>
      </c>
      <c r="D13" s="12"/>
      <c r="E13" s="12"/>
      <c r="F13" s="12"/>
    </row>
    <row r="14" spans="1:6" x14ac:dyDescent="0.25">
      <c r="A14" s="11" t="s">
        <v>104</v>
      </c>
      <c r="B14" s="16">
        <v>0</v>
      </c>
      <c r="C14" s="11" t="s">
        <v>62</v>
      </c>
      <c r="D14" s="12"/>
      <c r="E14" s="12"/>
      <c r="F14" s="12"/>
    </row>
    <row r="15" spans="1:6" x14ac:dyDescent="0.25">
      <c r="A15" s="11" t="s">
        <v>105</v>
      </c>
      <c r="B15" s="16">
        <v>0</v>
      </c>
      <c r="C15" s="11" t="s">
        <v>62</v>
      </c>
      <c r="D15" s="12"/>
      <c r="E15" s="12"/>
      <c r="F15" s="12"/>
    </row>
    <row r="16" spans="1:6" x14ac:dyDescent="0.25">
      <c r="A16" s="11" t="s">
        <v>106</v>
      </c>
      <c r="B16" s="16">
        <v>0</v>
      </c>
      <c r="C16" s="11" t="s">
        <v>62</v>
      </c>
      <c r="D16" s="12"/>
      <c r="E16" s="12"/>
      <c r="F16" s="12"/>
    </row>
  </sheetData>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30" style="6" customWidth="1"/>
    <col min="2" max="6" width="15" style="7" customWidth="1"/>
  </cols>
  <sheetData>
    <row r="1" spans="1:6" s="8" customFormat="1" x14ac:dyDescent="0.25">
      <c r="A1" s="9" t="s">
        <v>107</v>
      </c>
      <c r="B1" s="10"/>
      <c r="C1" s="10"/>
      <c r="D1" s="10"/>
      <c r="E1" s="10"/>
      <c r="F1" s="10"/>
    </row>
    <row r="2" spans="1:6" x14ac:dyDescent="0.25">
      <c r="A2" s="11" t="s">
        <v>10</v>
      </c>
      <c r="B2" s="12"/>
      <c r="C2" s="12"/>
      <c r="D2" s="12"/>
      <c r="E2" s="12"/>
      <c r="F2" s="12"/>
    </row>
    <row r="4" spans="1:6" x14ac:dyDescent="0.25">
      <c r="A4" s="21" t="s">
        <v>108</v>
      </c>
      <c r="B4" s="37">
        <v>2024</v>
      </c>
      <c r="C4" s="37">
        <v>2023</v>
      </c>
      <c r="D4" s="37">
        <v>2022</v>
      </c>
      <c r="E4" s="37">
        <v>2021</v>
      </c>
      <c r="F4" s="37">
        <v>2020</v>
      </c>
    </row>
    <row r="5" spans="1:6" x14ac:dyDescent="0.25">
      <c r="A5" s="11" t="s">
        <v>64</v>
      </c>
      <c r="B5" s="16">
        <v>8880</v>
      </c>
      <c r="C5" s="16">
        <v>7060</v>
      </c>
      <c r="D5" s="16">
        <v>5600</v>
      </c>
      <c r="E5" s="16">
        <v>4611.856</v>
      </c>
      <c r="F5" s="16">
        <v>2929.491</v>
      </c>
    </row>
    <row r="6" spans="1:6" x14ac:dyDescent="0.25">
      <c r="A6" s="11" t="s">
        <v>109</v>
      </c>
      <c r="B6" s="14">
        <v>0.2578</v>
      </c>
      <c r="C6" s="14">
        <v>0.2607</v>
      </c>
      <c r="D6" s="14">
        <v>0.2143</v>
      </c>
      <c r="E6" s="14">
        <v>0.5743</v>
      </c>
      <c r="F6" s="14">
        <v>0.8563</v>
      </c>
    </row>
    <row r="7" spans="1:6" x14ac:dyDescent="0.25">
      <c r="A7" s="11" t="s">
        <v>110</v>
      </c>
      <c r="B7" s="16">
        <v>2466.795</v>
      </c>
      <c r="C7" s="16">
        <v>1260.83085</v>
      </c>
      <c r="D7" s="16">
        <v>-1968.31965</v>
      </c>
      <c r="E7" s="16">
        <v>3789.34895</v>
      </c>
      <c r="F7" s="16">
        <v>860.85</v>
      </c>
    </row>
    <row r="8" spans="1:6" x14ac:dyDescent="0.25">
      <c r="A8" s="11" t="s">
        <v>111</v>
      </c>
      <c r="B8" s="14">
        <v>0.2777922297297297</v>
      </c>
      <c r="C8" s="14">
        <v>0.1785879390934844</v>
      </c>
      <c r="D8" s="14">
        <v>-0.3514856517857143</v>
      </c>
      <c r="E8" s="14">
        <v>0.8216537875423691</v>
      </c>
      <c r="F8" s="14">
        <v>0.2938565095438081</v>
      </c>
    </row>
    <row r="9" spans="1:6" x14ac:dyDescent="0.25">
      <c r="A9" s="11" t="s">
        <v>112</v>
      </c>
      <c r="B9" s="16">
        <v>2524.866164</v>
      </c>
      <c r="C9" s="16">
        <v>1260.83085</v>
      </c>
      <c r="D9" s="16">
        <v>-1968.31965</v>
      </c>
      <c r="E9" s="16">
        <v>5330.51695</v>
      </c>
      <c r="F9" s="16">
        <v>3439.441</v>
      </c>
    </row>
    <row r="10" spans="1:6" x14ac:dyDescent="0.25">
      <c r="A10" s="11" t="s">
        <v>113</v>
      </c>
      <c r="B10" s="16">
        <v>-58.071164</v>
      </c>
      <c r="C10" s="16">
        <v>0</v>
      </c>
      <c r="D10" s="16">
        <v>0</v>
      </c>
      <c r="E10" s="16">
        <v>-1541.168</v>
      </c>
      <c r="F10" s="16">
        <v>-2578.591</v>
      </c>
    </row>
    <row r="11" spans="1:6" x14ac:dyDescent="0.25">
      <c r="A11" s="11" t="s">
        <v>114</v>
      </c>
      <c r="B11" s="16">
        <v>17196.1786</v>
      </c>
      <c r="C11" s="16">
        <v>14256.3836</v>
      </c>
      <c r="D11" s="16">
        <v>12300.55275</v>
      </c>
      <c r="E11" s="16">
        <v>13703.2134</v>
      </c>
      <c r="F11" s="16">
        <v>8095.90545</v>
      </c>
    </row>
    <row r="12" spans="1:6" x14ac:dyDescent="0.25">
      <c r="A12" s="11" t="s">
        <v>115</v>
      </c>
      <c r="B12" s="14">
        <v>0.1434501849149206</v>
      </c>
      <c r="C12" s="14">
        <v>0.08843973937401628</v>
      </c>
      <c r="D12" s="14">
        <v>-0.1600187967162695</v>
      </c>
      <c r="E12" s="14">
        <v>0.2765299524562611</v>
      </c>
      <c r="F12" s="14">
        <v>0.1063315283653665</v>
      </c>
    </row>
    <row r="13" spans="1:6" x14ac:dyDescent="0.25">
      <c r="A13" s="11" t="s">
        <v>116</v>
      </c>
      <c r="B13" s="16">
        <v>0.5163937992595634</v>
      </c>
      <c r="C13" s="16">
        <v>0.4952167532865768</v>
      </c>
      <c r="D13" s="16">
        <v>0.4552640937213167</v>
      </c>
      <c r="E13" s="16">
        <v>0.3365528847416183</v>
      </c>
      <c r="F13" s="16">
        <v>0.3618484699571189</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howGridLines="0"/>
  </sheetViews>
  <sheetFormatPr defaultRowHeight="15" outlineLevelRow="0" outlineLevelCol="0" x14ac:dyDescent="55"/>
  <cols>
    <col min="1" max="1" width="9" style="6" customWidth="1"/>
    <col min="2" max="2" width="9" style="7" customWidth="1"/>
    <col min="3" max="3" width="9" style="38" customWidth="1"/>
    <col min="4" max="4" width="9" style="7" customWidth="1"/>
    <col min="5" max="5" width="9" style="38" customWidth="1"/>
    <col min="6" max="6" width="9" style="7" customWidth="1"/>
  </cols>
  <sheetData>
    <row r="1" spans="1:6" s="8" customFormat="1" x14ac:dyDescent="0.25">
      <c r="A1" s="9" t="s">
        <v>117</v>
      </c>
      <c r="B1" s="10"/>
      <c r="C1" s="39"/>
      <c r="D1" s="10"/>
      <c r="E1" s="39"/>
      <c r="F1" s="10"/>
    </row>
    <row r="2" spans="1:6" x14ac:dyDescent="0.25">
      <c r="A2" s="11" t="s">
        <v>10</v>
      </c>
      <c r="B2" s="12"/>
      <c r="C2" s="40"/>
      <c r="D2" s="12"/>
      <c r="E2" s="40"/>
      <c r="F2" s="12"/>
    </row>
    <row r="4" spans="1:6" x14ac:dyDescent="0.25">
      <c r="A4" s="18" t="s">
        <v>118</v>
      </c>
      <c r="B4" s="12"/>
      <c r="C4" s="40"/>
      <c r="D4" s="12"/>
      <c r="E4" s="40"/>
      <c r="F4" s="12"/>
    </row>
    <row r="5" spans="1:6" s="32" customFormat="1" x14ac:dyDescent="0.25">
      <c r="A5" s="21" t="s">
        <v>119</v>
      </c>
      <c r="B5" s="22" t="s">
        <v>120</v>
      </c>
      <c r="C5" s="41" t="s">
        <v>109</v>
      </c>
      <c r="D5" s="22" t="s">
        <v>121</v>
      </c>
      <c r="E5" s="41" t="s">
        <v>109</v>
      </c>
      <c r="F5" s="22" t="s">
        <v>122</v>
      </c>
    </row>
    <row r="6" spans="1:6" x14ac:dyDescent="0.25">
      <c r="A6" s="11" t="s">
        <v>123</v>
      </c>
      <c r="B6" s="16">
        <v>842.507901</v>
      </c>
      <c r="C6" s="14">
        <v>0.1835987681691576</v>
      </c>
      <c r="D6" s="16">
        <v>711.818839</v>
      </c>
      <c r="E6" s="14">
        <v>0.3394269081336571</v>
      </c>
      <c r="F6" s="16">
        <v>531.4353733507121</v>
      </c>
    </row>
    <row r="7" spans="1:6" x14ac:dyDescent="0.25">
      <c r="A7" s="11" t="s">
        <v>124</v>
      </c>
      <c r="B7" s="16">
        <v>459.809397</v>
      </c>
      <c r="C7" s="14">
        <v>0.1637342470604998</v>
      </c>
      <c r="D7" s="16">
        <v>395.115464</v>
      </c>
      <c r="E7" s="14">
        <v>0.1893583380325571</v>
      </c>
      <c r="F7" s="16">
        <v>332.2089326364013</v>
      </c>
    </row>
    <row r="8" spans="1:6" x14ac:dyDescent="0.25">
      <c r="A8" s="11" t="s">
        <v>125</v>
      </c>
      <c r="B8" s="16">
        <v>1625.040664</v>
      </c>
      <c r="C8" s="14">
        <v>0.2715346653690535</v>
      </c>
      <c r="D8" s="16">
        <v>1278.015227</v>
      </c>
      <c r="E8" s="14">
        <v>0.4510081342574137</v>
      </c>
      <c r="F8" s="16">
        <v>880.7774379942076</v>
      </c>
    </row>
    <row r="9" spans="1:6" x14ac:dyDescent="0.25">
      <c r="A9" s="11" t="s">
        <v>126</v>
      </c>
      <c r="B9" s="16">
        <v>92.342673</v>
      </c>
      <c r="C9" s="14">
        <v>0.314198746440975</v>
      </c>
      <c r="D9" s="16">
        <v>70.265379</v>
      </c>
      <c r="E9" s="14">
        <v>0.1434966139129898</v>
      </c>
      <c r="F9" s="16">
        <v>61.447824283060434</v>
      </c>
    </row>
    <row r="10" spans="1:6" x14ac:dyDescent="0.25">
      <c r="A10" s="11" t="s">
        <v>127</v>
      </c>
      <c r="B10" s="16">
        <v>5433.937967</v>
      </c>
      <c r="C10" s="14">
        <v>0.14779103307036978</v>
      </c>
      <c r="D10" s="16">
        <v>4734.257204</v>
      </c>
      <c r="E10" s="14">
        <v>0.3253380269290619</v>
      </c>
      <c r="F10" s="16">
        <v>3572.113006498227</v>
      </c>
    </row>
    <row r="11" spans="1:6" x14ac:dyDescent="0.25">
      <c r="A11" s="11" t="s">
        <v>128</v>
      </c>
      <c r="B11" s="16">
        <v>8453.638602</v>
      </c>
      <c r="C11" s="14">
        <v>0.17583578726373192</v>
      </c>
      <c r="D11" s="16">
        <v>7189.472113</v>
      </c>
      <c r="E11" s="14">
        <v>0.3368344008287075</v>
      </c>
      <c r="F11" s="16">
        <v>5377.982574762607</v>
      </c>
    </row>
    <row r="13" spans="1:6" x14ac:dyDescent="0.25">
      <c r="A13" s="18" t="s">
        <v>129</v>
      </c>
      <c r="B13" s="12"/>
      <c r="C13" s="40"/>
      <c r="D13" s="12"/>
      <c r="E13" s="40"/>
      <c r="F13" s="12"/>
    </row>
    <row r="14" spans="1:6" s="32" customFormat="1" x14ac:dyDescent="0.25">
      <c r="A14" s="21" t="s">
        <v>119</v>
      </c>
      <c r="B14" s="22" t="s">
        <v>120</v>
      </c>
      <c r="C14" s="41" t="s">
        <v>109</v>
      </c>
      <c r="D14" s="22" t="s">
        <v>121</v>
      </c>
      <c r="E14" s="41" t="s">
        <v>109</v>
      </c>
      <c r="F14" s="22" t="s">
        <v>122</v>
      </c>
    </row>
    <row r="15" spans="1:6" x14ac:dyDescent="0.25">
      <c r="A15" s="11" t="s">
        <v>130</v>
      </c>
      <c r="B15" s="16">
        <v>0</v>
      </c>
      <c r="C15" s="14">
        <v>-1</v>
      </c>
      <c r="D15" s="16">
        <v>5318.783691314757</v>
      </c>
      <c r="E15" s="14">
        <v>0.346809657395135</v>
      </c>
      <c r="F15" s="16">
        <v>3949.1725219744994</v>
      </c>
    </row>
    <row r="16" spans="1:6" x14ac:dyDescent="0.25">
      <c r="A16" s="11" t="s">
        <v>131</v>
      </c>
      <c r="B16" s="16">
        <v>6530</v>
      </c>
      <c r="C16" s="40"/>
      <c r="D16" s="16">
        <v>0</v>
      </c>
      <c r="E16" s="40"/>
      <c r="F16" s="16">
        <v>0</v>
      </c>
    </row>
    <row r="17" spans="1:6" x14ac:dyDescent="0.25">
      <c r="A17" s="11" t="s">
        <v>132</v>
      </c>
      <c r="B17" s="16">
        <v>0</v>
      </c>
      <c r="C17" s="14">
        <v>-1</v>
      </c>
      <c r="D17" s="16">
        <v>1870.6884244582031</v>
      </c>
      <c r="E17" s="14">
        <v>0.3092632017865711</v>
      </c>
      <c r="F17" s="16">
        <v>1428.810052788112</v>
      </c>
    </row>
    <row r="18" spans="1:6" x14ac:dyDescent="0.25">
      <c r="A18" s="11" t="s">
        <v>133</v>
      </c>
      <c r="B18" s="16">
        <v>2350</v>
      </c>
      <c r="C18" s="40"/>
      <c r="D18" s="16">
        <v>0</v>
      </c>
      <c r="E18" s="40"/>
      <c r="F18" s="16">
        <v>0</v>
      </c>
    </row>
    <row r="19" spans="1:6" x14ac:dyDescent="0.25">
      <c r="A19" s="11" t="s">
        <v>128</v>
      </c>
      <c r="B19" s="16">
        <v>8880</v>
      </c>
      <c r="C19" s="14">
        <v>0.23513936169502572</v>
      </c>
      <c r="D19" s="16">
        <v>7189.47211577296</v>
      </c>
      <c r="E19" s="14">
        <v>0.3368344013443201</v>
      </c>
      <c r="F19" s="16">
        <v>5377.982574762611</v>
      </c>
    </row>
  </sheetData>
  <pageMargins left="0.7" right="0.7" top="0.75" bottom="0.75" header="0.3" footer="0.3"/>
  <pageSetup orientation="portrait" horizontalDpi="4294967295" verticalDpi="4294967295" scale="100" fitToWidth="1" fitToHeigh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28" style="6" customWidth="1"/>
    <col min="2" max="2" width="18" style="7" customWidth="1"/>
    <col min="3" max="3" width="26" style="7" customWidth="1"/>
    <col min="4" max="6" width="18" style="7" customWidth="1"/>
  </cols>
  <sheetData>
    <row r="1" spans="1:6" s="8" customFormat="1" x14ac:dyDescent="0.25">
      <c r="A1" s="9" t="s">
        <v>134</v>
      </c>
      <c r="B1" s="10"/>
      <c r="C1" s="10"/>
      <c r="D1" s="10"/>
      <c r="E1" s="10"/>
      <c r="F1" s="10"/>
    </row>
    <row r="2" spans="1:6" x14ac:dyDescent="0.25">
      <c r="A2" s="11" t="s">
        <v>10</v>
      </c>
      <c r="B2" s="12"/>
      <c r="C2" s="12"/>
      <c r="D2" s="12"/>
      <c r="E2" s="12"/>
      <c r="F2" s="12"/>
    </row>
    <row r="4" spans="1:6" s="32" customFormat="1" x14ac:dyDescent="0.25">
      <c r="A4" s="42" t="s">
        <v>135</v>
      </c>
      <c r="B4" s="36" t="s">
        <v>136</v>
      </c>
      <c r="C4" s="36" t="s">
        <v>137</v>
      </c>
      <c r="D4" s="36"/>
      <c r="E4" s="36"/>
      <c r="F4" s="36"/>
    </row>
    <row r="5" spans="1:6" x14ac:dyDescent="0.25">
      <c r="A5" s="11" t="s">
        <v>138</v>
      </c>
      <c r="B5" s="12" t="s">
        <v>139</v>
      </c>
      <c r="C5" s="12" t="s">
        <v>140</v>
      </c>
      <c r="D5" s="12"/>
      <c r="E5" s="12"/>
      <c r="F5" s="12"/>
    </row>
    <row r="6" spans="1:6" x14ac:dyDescent="0.25">
      <c r="A6" s="11" t="s">
        <v>141</v>
      </c>
      <c r="B6" s="12" t="s">
        <v>142</v>
      </c>
      <c r="C6" s="12" t="s">
        <v>143</v>
      </c>
      <c r="D6" s="12"/>
      <c r="E6" s="12"/>
      <c r="F6" s="12"/>
    </row>
    <row r="7" spans="1:6" x14ac:dyDescent="0.25">
      <c r="A7" s="11" t="s">
        <v>144</v>
      </c>
      <c r="B7" s="12" t="s">
        <v>145</v>
      </c>
      <c r="C7" s="12" t="s">
        <v>146</v>
      </c>
      <c r="D7" s="12"/>
      <c r="E7" s="12"/>
      <c r="F7" s="12"/>
    </row>
    <row r="9" spans="1:6" s="43" customFormat="1" x14ac:dyDescent="0.25">
      <c r="A9" s="44" t="s">
        <v>147</v>
      </c>
      <c r="B9" s="44"/>
      <c r="C9" s="44"/>
      <c r="D9" s="44"/>
      <c r="E9" s="44"/>
      <c r="F9" s="44"/>
    </row>
    <row r="10" spans="1:6" s="32" customFormat="1" x14ac:dyDescent="0.25">
      <c r="A10" s="42" t="s">
        <v>148</v>
      </c>
      <c r="B10" s="36" t="s">
        <v>149</v>
      </c>
      <c r="C10" s="36" t="s">
        <v>150</v>
      </c>
      <c r="D10" s="36" t="s">
        <v>151</v>
      </c>
      <c r="E10" s="36" t="s">
        <v>152</v>
      </c>
      <c r="F10" s="36" t="s">
        <v>153</v>
      </c>
    </row>
    <row r="11" spans="1:6" x14ac:dyDescent="0.25">
      <c r="A11" s="11" t="s">
        <v>138</v>
      </c>
      <c r="B11" s="45">
        <v>14.28873937918646</v>
      </c>
      <c r="C11" s="45">
        <v>24.49498179289107</v>
      </c>
      <c r="D11" s="45">
        <v>39.46413733299116</v>
      </c>
      <c r="E11" s="45">
        <v>66.00036760862315</v>
      </c>
      <c r="F11" s="45">
        <v>169.4236240674965</v>
      </c>
    </row>
    <row r="12" spans="1:6" x14ac:dyDescent="0.25">
      <c r="A12" s="11" t="s">
        <v>141</v>
      </c>
      <c r="B12" s="45">
        <v>25.32791921290194</v>
      </c>
      <c r="C12" s="45">
        <v>37.80286449686857</v>
      </c>
      <c r="D12" s="45">
        <v>61.24064048492708</v>
      </c>
      <c r="E12" s="45">
        <v>135.5232692212738</v>
      </c>
      <c r="F12" s="45">
        <v>400.1433206993538</v>
      </c>
    </row>
    <row r="13" spans="1:6" x14ac:dyDescent="0.25">
      <c r="A13" s="11" t="s">
        <v>144</v>
      </c>
      <c r="B13" s="45">
        <v>19.7644557861441</v>
      </c>
      <c r="C13" s="45">
        <v>28.98786848634468</v>
      </c>
      <c r="D13" s="45">
        <v>43.48180272951701</v>
      </c>
      <c r="E13" s="45">
        <v>71.15204083011875</v>
      </c>
      <c r="F13" s="45">
        <v>111.9985827881499</v>
      </c>
    </row>
  </sheetData>
  <mergeCells count="1">
    <mergeCell ref="A9:F9"/>
  </mergeCells>
  <pageMargins left="0.7" right="0.7" top="0.75" bottom="0.75" header="0.3" footer="0.3"/>
  <pageSetup orientation="portrait" horizontalDpi="4294967295" verticalDpi="4294967295" scale="100" fitToWidth="1" fitToHeigh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howGridLines="0"/>
  </sheetViews>
  <sheetFormatPr defaultRowHeight="15" outlineLevelRow="0" outlineLevelCol="0" x14ac:dyDescent="55"/>
  <cols>
    <col min="1" max="1" width="30" style="6" customWidth="1"/>
    <col min="2" max="5" width="20" style="7" customWidth="1"/>
  </cols>
  <sheetData>
    <row r="1" spans="1:5" s="8" customFormat="1" x14ac:dyDescent="0.25">
      <c r="A1" s="9" t="s">
        <v>154</v>
      </c>
      <c r="B1" s="10"/>
      <c r="C1" s="10"/>
      <c r="D1" s="10"/>
      <c r="E1" s="10"/>
    </row>
    <row r="2" spans="1:5" x14ac:dyDescent="0.25">
      <c r="A2" s="11" t="s">
        <v>10</v>
      </c>
      <c r="B2" s="12"/>
      <c r="C2" s="12"/>
      <c r="D2" s="12"/>
      <c r="E2" s="12"/>
    </row>
    <row r="4" spans="1:5" s="17" customFormat="1" x14ac:dyDescent="0.25">
      <c r="A4" s="18" t="s">
        <v>155</v>
      </c>
      <c r="B4" s="31"/>
      <c r="C4" s="31"/>
      <c r="D4" s="31"/>
      <c r="E4" s="31"/>
    </row>
    <row r="5" spans="1:5" x14ac:dyDescent="0.25">
      <c r="A5" s="11" t="s">
        <v>156</v>
      </c>
      <c r="B5" s="19">
        <v>0.04222000000000001</v>
      </c>
      <c r="C5" s="12"/>
      <c r="D5" s="12"/>
      <c r="E5" s="12"/>
    </row>
    <row r="6" spans="1:5" x14ac:dyDescent="0.25">
      <c r="A6" s="11" t="s">
        <v>157</v>
      </c>
      <c r="B6" s="12" t="s">
        <v>158</v>
      </c>
      <c r="C6" s="12"/>
      <c r="D6" s="12"/>
      <c r="E6" s="12"/>
    </row>
    <row r="7" spans="1:5" x14ac:dyDescent="0.25">
      <c r="A7" s="11" t="s">
        <v>159</v>
      </c>
      <c r="B7" s="19">
        <v>0.003</v>
      </c>
      <c r="C7" s="12"/>
      <c r="D7" s="12"/>
      <c r="E7" s="12"/>
    </row>
    <row r="8" spans="1:5" x14ac:dyDescent="0.25">
      <c r="A8" s="11" t="s">
        <v>160</v>
      </c>
      <c r="B8" s="25">
        <f>=INDEX(B:B,MATCH("Ten-year bond yield",A:A,0))-INDEX(B:B,MATCH("Default spread",A:A,0))</f>
      </c>
      <c r="C8" s="12"/>
      <c r="D8" s="12"/>
      <c r="E8" s="12"/>
    </row>
    <row r="10" spans="1:5" s="17" customFormat="1" x14ac:dyDescent="0.25">
      <c r="A10" s="18" t="s">
        <v>161</v>
      </c>
      <c r="B10" s="31"/>
      <c r="C10" s="31"/>
      <c r="D10" s="31"/>
      <c r="E10" s="31"/>
    </row>
    <row r="11" spans="1:5" s="32" customFormat="1" x14ac:dyDescent="0.25">
      <c r="A11" s="21" t="s">
        <v>119</v>
      </c>
      <c r="B11" s="22" t="s">
        <v>162</v>
      </c>
      <c r="C11" s="22" t="s">
        <v>163</v>
      </c>
      <c r="D11" s="22" t="s">
        <v>164</v>
      </c>
      <c r="E11" s="22" t="s">
        <v>165</v>
      </c>
    </row>
    <row r="12" spans="1:5" x14ac:dyDescent="0.25">
      <c r="A12" s="11" t="s">
        <v>133</v>
      </c>
      <c r="B12" s="20">
        <v>2350</v>
      </c>
      <c r="C12" s="20">
        <v>5.25</v>
      </c>
      <c r="D12" s="25">
        <f>(B12*C12)/SUMPRODUCT(B12:B13,C12:C13)</f>
      </c>
      <c r="E12" s="20">
        <v>1.83</v>
      </c>
    </row>
    <row r="13" spans="1:5" x14ac:dyDescent="0.25">
      <c r="A13" s="11" t="s">
        <v>131</v>
      </c>
      <c r="B13" s="20">
        <v>6530</v>
      </c>
      <c r="C13" s="20">
        <v>5.25</v>
      </c>
      <c r="D13" s="25">
        <f>(B13*C13)/SUMPRODUCT(B12:B13,C12:C13)</f>
      </c>
      <c r="E13" s="20">
        <v>2.13</v>
      </c>
    </row>
    <row r="15" spans="1:5" x14ac:dyDescent="0.25">
      <c r="A15" s="11" t="s">
        <v>165</v>
      </c>
      <c r="B15" s="46">
        <f>=SUMPRODUCT(INDEX(D:D,MATCH("Segment",A:A,0)+1):INDEX(D:D,MATCH(TRUE,INDEX((INDEX(A:A,MATCH("Segment",A:A,0)+1):A1048576)="",0),0)+MATCH("Segment",A:A,0)+1-1),INDEX(E:E,MATCH("Segment",A:A,0)+1):INDEX(E:E,MATCH(TRUE,INDEX((INDEX(A:A,MATCH("Segment",A:A,0)+1):A1048576)="",0),0)+MATCH("Segment",A:A,0)+1-1))</f>
      </c>
      <c r="C15" s="12"/>
      <c r="D15" s="12"/>
      <c r="E15" s="12"/>
    </row>
    <row r="16" spans="1:5" x14ac:dyDescent="0.25">
      <c r="A16" s="11" t="s">
        <v>166</v>
      </c>
      <c r="B16" s="19">
        <v>0.007699954946801817</v>
      </c>
      <c r="C16" s="12"/>
      <c r="D16" s="12"/>
      <c r="E16" s="12"/>
    </row>
    <row r="17" spans="1:5" x14ac:dyDescent="0.25">
      <c r="A17" s="11" t="s">
        <v>167</v>
      </c>
      <c r="B17" s="19">
        <v>0.03718089629895131</v>
      </c>
      <c r="C17" s="12"/>
      <c r="D17" s="12"/>
      <c r="E17" s="12"/>
    </row>
    <row r="18" spans="1:5" x14ac:dyDescent="0.25">
      <c r="A18" s="11" t="s">
        <v>168</v>
      </c>
      <c r="B18" s="19">
        <v>0.2236153828719706</v>
      </c>
      <c r="C18" s="12"/>
      <c r="D18" s="12"/>
      <c r="E18" s="12"/>
    </row>
    <row r="19" spans="1:5" x14ac:dyDescent="0.25">
      <c r="A19" s="11" t="s">
        <v>169</v>
      </c>
      <c r="B19" s="46">
        <f>=INDEX(B:B,MATCH("Business beta",A:A,0))*(1+(1-INDEX(B:B,MATCH("Marginal tax rate",A:A,0)))*INDEX(B:B,MATCH("Debt-to-equity ratio",A:A,0)))*(1-INDEX(B:B,MATCH("Cash-to-firm ratio",A:A,0)))</f>
      </c>
      <c r="C19" s="12"/>
      <c r="D19" s="12"/>
      <c r="E19" s="12"/>
    </row>
    <row r="21" spans="1:5" s="17" customFormat="1" x14ac:dyDescent="0.25">
      <c r="A21" s="18" t="s">
        <v>170</v>
      </c>
      <c r="B21" s="31"/>
      <c r="C21" s="31"/>
      <c r="D21" s="31"/>
      <c r="E21" s="31"/>
    </row>
    <row r="22" spans="1:5" x14ac:dyDescent="0.25">
      <c r="A22" s="11" t="s">
        <v>171</v>
      </c>
      <c r="B22" s="12" t="s">
        <v>172</v>
      </c>
      <c r="C22" s="12"/>
      <c r="D22" s="12"/>
      <c r="E22" s="12"/>
    </row>
    <row r="23" spans="1:5" x14ac:dyDescent="0.25">
      <c r="A23" s="11" t="s">
        <v>173</v>
      </c>
      <c r="B23" s="12" t="s">
        <v>174</v>
      </c>
      <c r="C23" s="12"/>
      <c r="D23" s="12"/>
      <c r="E23" s="12"/>
    </row>
    <row r="25" spans="1:5" s="17" customFormat="1" x14ac:dyDescent="0.25">
      <c r="A25" s="18" t="s">
        <v>175</v>
      </c>
      <c r="B25" s="31"/>
      <c r="C25" s="31"/>
      <c r="D25" s="31"/>
      <c r="E25" s="31"/>
    </row>
    <row r="26" spans="1:5" s="32" customFormat="1" x14ac:dyDescent="0.25">
      <c r="A26" s="21" t="s">
        <v>176</v>
      </c>
      <c r="B26" s="22" t="s">
        <v>162</v>
      </c>
      <c r="C26" s="22" t="s">
        <v>164</v>
      </c>
      <c r="D26" s="22" t="s">
        <v>177</v>
      </c>
      <c r="E26" s="22" t="s">
        <v>178</v>
      </c>
    </row>
    <row r="27" spans="1:5" x14ac:dyDescent="0.25">
      <c r="A27" s="11" t="s">
        <v>158</v>
      </c>
      <c r="B27" s="20">
        <v>5433.937967</v>
      </c>
      <c r="C27" s="25">
        <f>B27/SUM(B27:B31)</f>
      </c>
      <c r="D27" s="19">
        <v>0.0453</v>
      </c>
      <c r="E27" s="19">
        <v>0.21</v>
      </c>
    </row>
    <row r="28" spans="1:5" x14ac:dyDescent="0.25">
      <c r="A28" s="11" t="s">
        <v>179</v>
      </c>
      <c r="B28" s="20">
        <v>92.342673</v>
      </c>
      <c r="C28" s="25">
        <f>B28/SUM(B27:B31)</f>
      </c>
      <c r="D28" s="19">
        <v>0.0978</v>
      </c>
      <c r="E28" s="19">
        <v>0.3127</v>
      </c>
    </row>
    <row r="29" spans="1:5" x14ac:dyDescent="0.25">
      <c r="A29" s="11" t="s">
        <v>124</v>
      </c>
      <c r="B29" s="20">
        <v>459.809397</v>
      </c>
      <c r="C29" s="25">
        <f>B29/SUM(B27:B31)</f>
      </c>
      <c r="D29" s="19">
        <v>0.04</v>
      </c>
      <c r="E29" s="19">
        <v>0.265</v>
      </c>
    </row>
    <row r="30" spans="1:5" x14ac:dyDescent="0.25">
      <c r="A30" s="11" t="s">
        <v>180</v>
      </c>
      <c r="B30" s="20">
        <v>842.507901</v>
      </c>
      <c r="C30" s="25">
        <f>B30/SUM(B27:B31)</f>
      </c>
      <c r="D30" s="19">
        <v>0.0636</v>
      </c>
      <c r="E30" s="19">
        <v>0.255</v>
      </c>
    </row>
    <row r="31" spans="1:5" x14ac:dyDescent="0.25">
      <c r="A31" s="11" t="s">
        <v>181</v>
      </c>
      <c r="B31" s="20">
        <v>1625.040664</v>
      </c>
      <c r="C31" s="25">
        <f>B31/SUM(B27:B31)</f>
      </c>
      <c r="D31" s="19">
        <v>0.07429999999999999</v>
      </c>
      <c r="E31" s="19">
        <v>0.2361</v>
      </c>
    </row>
    <row r="33" spans="1:5" x14ac:dyDescent="0.25">
      <c r="A33" s="11" t="s">
        <v>182</v>
      </c>
      <c r="B33" s="25">
        <f>=SUMPRODUCT(INDEX(C:C,MATCH("Country",A:A,0)+1):INDEX(C:C,MATCH(TRUE,INDEX((INDEX(A:A,MATCH("Country",A:A,0)+1):A1048576)="",0),0)+MATCH("Country",A:A,0)+1-1),INDEX(D:D,MATCH("Country",A:A,0)+1):INDEX(D:D,MATCH(TRUE,INDEX((INDEX(A:A,MATCH("Country",A:A,0)+1):A1048576)="",0),0)+MATCH("Country",A:A,0)+1-1))</f>
      </c>
      <c r="C33" s="12"/>
      <c r="D33" s="12"/>
      <c r="E33" s="12"/>
    </row>
    <row r="35" spans="1:5" s="17" customFormat="1" x14ac:dyDescent="0.25">
      <c r="A35" s="18" t="s">
        <v>183</v>
      </c>
      <c r="B35" s="31"/>
      <c r="C35" s="31"/>
      <c r="D35" s="31"/>
      <c r="E35" s="31"/>
    </row>
    <row r="36" spans="1:5" x14ac:dyDescent="0.25">
      <c r="A36" s="11" t="s">
        <v>160</v>
      </c>
      <c r="B36" s="25">
        <f>=INDEX(B:B,MATCH("Risk-free rate",A:A,0))</f>
      </c>
      <c r="C36" s="12"/>
      <c r="D36" s="12"/>
      <c r="E36" s="12"/>
    </row>
    <row r="37" spans="1:5" x14ac:dyDescent="0.25">
      <c r="A37" s="11" t="s">
        <v>184</v>
      </c>
      <c r="B37" s="25">
        <f>=INDEX(B:B,MATCH("Equity beta",A:A,0))*INDEX(B:B,MATCH("Equity risk premium",A:A,0))</f>
      </c>
      <c r="C37" s="12"/>
      <c r="D37" s="12"/>
      <c r="E37" s="12"/>
    </row>
    <row r="38" spans="1:5" x14ac:dyDescent="0.25">
      <c r="A38" s="11" t="s">
        <v>169</v>
      </c>
      <c r="B38" s="46">
        <f>=INDEX(B:B,MATCH("Equity beta",A:A,0))</f>
      </c>
      <c r="C38" s="12"/>
      <c r="D38" s="12"/>
      <c r="E38" s="12"/>
    </row>
    <row r="39" spans="1:5" x14ac:dyDescent="0.25">
      <c r="A39" s="11" t="s">
        <v>185</v>
      </c>
      <c r="B39" s="25">
        <f>=INDEX(B:B,MATCH("Company equity risk premium",A:A,0))</f>
      </c>
      <c r="C39" s="12"/>
      <c r="D39" s="12"/>
      <c r="E39" s="12"/>
    </row>
    <row r="40" spans="1:5" x14ac:dyDescent="0.25">
      <c r="A40" s="11" t="s">
        <v>154</v>
      </c>
      <c r="B40" s="25">
        <f>=INDEX(B:B,MATCH("Risk-free rate",A:A,0))+INDEX(B:B,MATCH("Equity beta",A:A,0))*INDEX(B:B,MATCH("Equity risk premium",A:A,0))</f>
      </c>
      <c r="C40" s="12"/>
      <c r="D40" s="12"/>
      <c r="E40" s="12"/>
    </row>
    <row r="42" spans="1:5" s="17" customFormat="1" x14ac:dyDescent="0.25">
      <c r="A42" s="18" t="s">
        <v>186</v>
      </c>
      <c r="B42" s="31"/>
      <c r="C42" s="31"/>
      <c r="D42" s="31"/>
      <c r="E42" s="31"/>
    </row>
    <row r="43" spans="1:5" x14ac:dyDescent="0.25">
      <c r="A43" s="11" t="s">
        <v>160</v>
      </c>
      <c r="B43" s="25">
        <f>=INDEX(B:B,MATCH("Risk-free rate",A:A,0))</f>
      </c>
      <c r="C43" s="12"/>
      <c r="D43" s="12"/>
      <c r="E43" s="12"/>
    </row>
    <row r="44" spans="1:5" x14ac:dyDescent="0.25">
      <c r="A44" s="11" t="s">
        <v>187</v>
      </c>
      <c r="B44" s="25">
        <f>=INDEX(B:B,MATCH("Stable beta (clamped)",A:A,0))*INDEX(B:B,MATCH("Equity risk premium",A:A,0))</f>
      </c>
      <c r="C44" s="12"/>
      <c r="D44" s="12"/>
      <c r="E44" s="12"/>
    </row>
    <row r="45" spans="1:5" x14ac:dyDescent="0.25">
      <c r="A45" s="11" t="s">
        <v>188</v>
      </c>
      <c r="B45" s="46">
        <f>=MIN(MAX(INDEX(B:B,MATCH("Equity beta",A:A,0)),0.8),1.2)</f>
      </c>
      <c r="C45" s="12"/>
      <c r="D45" s="12"/>
      <c r="E45" s="12"/>
    </row>
    <row r="46" spans="1:5" x14ac:dyDescent="0.25">
      <c r="A46" s="11" t="s">
        <v>185</v>
      </c>
      <c r="B46" s="25">
        <f>=INDEX(B:B,MATCH("Company equity risk premium",A:A,0))</f>
      </c>
      <c r="C46" s="12"/>
      <c r="D46" s="12"/>
      <c r="E46" s="12"/>
    </row>
    <row r="47" spans="1:5" x14ac:dyDescent="0.25">
      <c r="A47" s="11" t="s">
        <v>189</v>
      </c>
      <c r="B47" s="25">
        <f>=INDEX(B:B,MATCH("Risk-free rate",A:A,0))+INDEX(B:B,MATCH("Stable beta (clamped)",A:A,0))*INDEX(B:B,MATCH("Equity risk premium",A:A,0))</f>
      </c>
      <c r="C47" s="12"/>
      <c r="D47" s="12"/>
      <c r="E47" s="12"/>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Summary</vt:lpstr>
      <vt:lpstr>Assumptions</vt:lpstr>
      <vt:lpstr>DCF model</vt:lpstr>
      <vt:lpstr>Other claims</vt:lpstr>
      <vt:lpstr>Financials</vt:lpstr>
      <vt:lpstr>Segments</vt:lpstr>
      <vt:lpstr>Multiples</vt:lpstr>
      <vt:lpstr>Cost of equity</vt:lpstr>
      <vt:lpstr>Scenarios</vt:lpstr>
      <vt:lpstr>Sensitivity</vt:lpstr>
      <vt:lpstr>Reverse DCF</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2026-02-09T05:28:40Z</dcterms:created>
  <dcterms:modified xsi:type="dcterms:W3CDTF">2026-02-09T05:28:40Z</dcterms:modified>
</cp:coreProperties>
</file>