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Cover" state="visible" r:id="rId4"/>
    <sheet sheetId="2" name="Summary" state="visible" r:id="rId5"/>
    <sheet sheetId="3" name="Assumptions" state="visible" r:id="rId6"/>
    <sheet sheetId="4" name="DCF model" state="visible" r:id="rId7"/>
    <sheet sheetId="5" name="Other claims" state="visible" r:id="rId8"/>
    <sheet sheetId="6" name="Financials" state="visible" r:id="rId9"/>
    <sheet sheetId="7" name="Segments" state="visible" r:id="rId10"/>
    <sheet sheetId="8" name="Multiples" state="visible" r:id="rId11"/>
    <sheet sheetId="9" name="Cost of equity" state="visible" r:id="rId12"/>
    <sheet sheetId="10" name="Scenarios" state="visible" r:id="rId13"/>
    <sheet sheetId="11" name="Sensitivity" state="visible" r:id="rId14"/>
    <sheet sheetId="12" name="Reverse DCF" state="visible" r:id="rId15"/>
  </sheets>
  <calcPr calcId="171027"/>
</workbook>
</file>

<file path=xl/sharedStrings.xml><?xml version="1.0" encoding="utf-8"?>
<sst xmlns="http://schemas.openxmlformats.org/spreadsheetml/2006/main" count="348" uniqueCount="261">
  <si>
    <t>ValuationBot.ai</t>
  </si>
  <si>
    <t>NVIDIA Corporation (NVDA)</t>
  </si>
  <si>
    <t>Analysis ID: d4ff1730-dd26-48a4-9e2c-eac715306b9d</t>
  </si>
  <si>
    <t>Created: Feb 22, 2026 07:02am</t>
  </si>
  <si>
    <t>User: Edmund Simms</t>
  </si>
  <si>
    <t>Email: edmund.simms@gmail.com</t>
  </si>
  <si>
    <t>View this analysis online</t>
  </si>
  <si>
    <t>© 2025–2026 Lyceum Analytics Ltd. ValuationBot is a trading name of Lyceum Analytics Ltd.</t>
  </si>
  <si>
    <t>Not financial advice. Use at your own risk.</t>
  </si>
  <si>
    <t>Summary</t>
  </si>
  <si>
    <t>(all financial data in US$ millions unless stated otherwise)</t>
  </si>
  <si>
    <t>Company</t>
  </si>
  <si>
    <t>NVIDIA Corporation</t>
  </si>
  <si>
    <t>Ticker</t>
  </si>
  <si>
    <t>NVDA</t>
  </si>
  <si>
    <t>Created</t>
  </si>
  <si>
    <t>Feb 22, 2026 07:02am</t>
  </si>
  <si>
    <t>Current price</t>
  </si>
  <si>
    <t>Estimated value</t>
  </si>
  <si>
    <t>Upside</t>
  </si>
  <si>
    <t>Expected IRR</t>
  </si>
  <si>
    <t>Currency</t>
  </si>
  <si>
    <t>USD</t>
  </si>
  <si>
    <t>Valuation date</t>
  </si>
  <si>
    <t>Latest financials date</t>
  </si>
  <si>
    <t>Latest filing</t>
  </si>
  <si>
    <t>10-Q Oct 26, 2025</t>
  </si>
  <si>
    <t>Industry</t>
  </si>
  <si>
    <t>Semiconductors</t>
  </si>
  <si>
    <t>Sector</t>
  </si>
  <si>
    <t>Technology</t>
  </si>
  <si>
    <t>Recommendation</t>
  </si>
  <si>
    <t>Strong Sell</t>
  </si>
  <si>
    <t>Exchange</t>
  </si>
  <si>
    <t>NASDAQ</t>
  </si>
  <si>
    <t>Market cap</t>
  </si>
  <si>
    <t>Share count</t>
  </si>
  <si>
    <t>Assumptions</t>
  </si>
  <si>
    <t>Valuation story</t>
  </si>
  <si>
    <t>NVIDIA sits in a late high-growth phase driven by data-centre demand for accelerated computing. It keeps a platform edge through its hardware, networking, and software stack, which makes switching costly and supports strong pricing power. Growth stays strong but cools as hyperscalers pace capex, rivals improve, and export controls limit some geographies, so revenue expansion normalises over time. Margins ease from unusually high levels as the product mix and transition costs settle, but the firm still earns premium profitability because its ecosystem and software attach remain sticky.</t>
  </si>
  <si>
    <t>Revenue growth rate</t>
  </si>
  <si>
    <t>I treat NVIDIA as a late high-growth firm. The analyst revenue path rises from about $213.5B to about $425.1B over three years, which implies a strong but slowing growth run-rate, so a 25% annual growth assumption for the first half of the high-growth period fits a base case where AI build-outs stay broad-based but normalise from the recent surge.</t>
  </si>
  <si>
    <t>Stable growth rate</t>
  </si>
  <si>
    <t>I set terminal growth just below the 3.752% risk-free rate to respect the hard constraint and to reflect a mature global technology supplier in steady state. This also builds in some long-run drag from regulation and competition, even if AI demand stays structural.</t>
  </si>
  <si>
    <t>Years to stability</t>
  </si>
  <si>
    <t>I give NVIDIA a long fade because it still sits in an AI platform expansion phase, not a normal semiconductor cycle. A 12-year horizon makes the 25% assumption plausible as a six-year CAGR that then tapers, which matches the idea that hyperscaler and enterprise demand remains large but becomes less supply-constrained and more price competitive over time.</t>
  </si>
  <si>
    <t>Sales-to-equity ratio</t>
  </si>
  <si>
    <t>I assume capital intensity rises versus the recent peak as NVIDIA funds more capex, supply-chain commitments, and cloud-service build-out, which lowers capital efficiency. Even so, the model stays above typical semiconductor medians because software, networking, and platform economics keep the business relatively capital-light for its growth rate.</t>
  </si>
  <si>
    <t>Stable net profit margin</t>
  </si>
  <si>
    <t>I expect margins to fall from the exceptionally high adjusted level as competition, customer scale bargaining, and product-transition costs reduce peak economics. I still keep the stable margin well above industry norms because the CUDA ecosystem, integrated systems, and software attach support durable pricing power and operating leverage.</t>
  </si>
  <si>
    <t>FY+1 net profit margin</t>
  </si>
  <si>
    <t>I move the margin down from the recent adjusted peak to reflect known transition frictions, higher R&amp;D and infrastructure spend, and the risk of inventory or export-related charges, which consensus net income also hints at through a lower net income share of revenue in the next step up. I do not drop it to the long-run level because mix remains data-centre led and scale still supports very high gross profit dollars.</t>
  </si>
  <si>
    <t>Margin convergence</t>
  </si>
  <si>
    <t>I let margins fade over most of the explicit high-growth phase because NVIDIA’s moat should erode gradually, not abruptly, and software and services should offset some hardware normalisation. Eight years gives time for competition and regulation to bite while keeping the path consistent with a still-growing platform business.</t>
  </si>
  <si>
    <t>Stable ROE</t>
  </si>
  <si>
    <t>I assume NVIDIA sustains value creation in maturity, so I keep stable ROE above the 9.67% stable cost of equity. I set it far below the recent extraordinary adjusted ROE because that level reflects a temporary demand shock, unusually high margins, and rapid turns that should normalise as reinvestment and competition rise.</t>
  </si>
  <si>
    <t>Credit rating</t>
  </si>
  <si>
    <t>Aa3/AA-</t>
  </si>
  <si>
    <t>I assign a high-grade rating because the business throws off large cash flows, holds very large liquidity, and uses modest debt for its scale, even while it commits to capacity and cloud agreements. I do not push to AAA because customer concentration, export controls, and the inherent cyclicality of semiconductors still add meaningful risk.</t>
  </si>
  <si>
    <t>Recovery ratio</t>
  </si>
  <si>
    <t>I assume an above-average recovery because NVIDIA’s balance sheet should retain substantial cash, and its IP and software ecosystem have real franchise value even in stress. I keep it below very high recoveries because specialised inventory, purchase commitments, and fast product obsolescence can reduce realised value in a downturn.</t>
  </si>
  <si>
    <t>DCF model</t>
  </si>
  <si>
    <t/>
  </si>
  <si>
    <t>Base year</t>
  </si>
  <si>
    <t>Revenue</t>
  </si>
  <si>
    <t>Growth, year-on-year, %</t>
  </si>
  <si>
    <t>Less: All expenses</t>
  </si>
  <si>
    <t>Net profit to common equity</t>
  </si>
  <si>
    <t>Net profit margin, %</t>
  </si>
  <si>
    <t>Less: Net reinvestment</t>
  </si>
  <si>
    <t>Invested common equity</t>
  </si>
  <si>
    <t>Return on common equity, %</t>
  </si>
  <si>
    <t>Sales to equity ratio, x</t>
  </si>
  <si>
    <t>Free cash flow to equity</t>
  </si>
  <si>
    <t>Plus: Stable value</t>
  </si>
  <si>
    <t>Free cash flows to be discounted</t>
  </si>
  <si>
    <t>Multiply: Discount factor</t>
  </si>
  <si>
    <t>Cost of equity, %</t>
  </si>
  <si>
    <t>Present value of free cash flows to equity</t>
  </si>
  <si>
    <t>Sum of PV of FCFE</t>
  </si>
  <si>
    <t>Less: Distress adjustments</t>
  </si>
  <si>
    <t>Distress likelihood, %</t>
  </si>
  <si>
    <t>Recovery ratio, %</t>
  </si>
  <si>
    <t>Adjusted equity value</t>
  </si>
  <si>
    <t>Less: Employee options</t>
  </si>
  <si>
    <t>Less: Unfunded liabilities</t>
  </si>
  <si>
    <t>Value of common shareholders' equity</t>
  </si>
  <si>
    <t>Divide: Share count</t>
  </si>
  <si>
    <t>Equity value per share</t>
  </si>
  <si>
    <t>Other claims</t>
  </si>
  <si>
    <t>Employee stock options</t>
  </si>
  <si>
    <t>Number</t>
  </si>
  <si>
    <t>Strike price</t>
  </si>
  <si>
    <t>Maturity</t>
  </si>
  <si>
    <t>Assumed volatility</t>
  </si>
  <si>
    <t>Assumed dividend yield</t>
  </si>
  <si>
    <t>Value</t>
  </si>
  <si>
    <t>Unfunded liabilities</t>
  </si>
  <si>
    <t>Item</t>
  </si>
  <si>
    <t>Explanation</t>
  </si>
  <si>
    <t>Pension Obligations</t>
  </si>
  <si>
    <t>Post Retirement Benefits</t>
  </si>
  <si>
    <t>Healthcare Liabilities</t>
  </si>
  <si>
    <t>Deferred Compensation</t>
  </si>
  <si>
    <t>Lawsuit Contingencies</t>
  </si>
  <si>
    <t>Environmental Liabilities</t>
  </si>
  <si>
    <t>Other</t>
  </si>
  <si>
    <t>Use the unrecognised tax benefits of $2.2bn recorded in non-current income tax payable at January 26th 2025 as an unfunded obligation because no funding assets are identified. I apply a 100% probability because it is already recorded as a liability, so the expected value is $2.2bn.</t>
  </si>
  <si>
    <t>Financials</t>
  </si>
  <si>
    <t>Fiscal Year</t>
  </si>
  <si>
    <t>YoY Growth</t>
  </si>
  <si>
    <t>Adjusted Net Profit</t>
  </si>
  <si>
    <t>Margin</t>
  </si>
  <si>
    <t>Reinvestment</t>
  </si>
  <si>
    <t>FCFE</t>
  </si>
  <si>
    <t>Adjusted Equity</t>
  </si>
  <si>
    <t>Return on Equity (ROE)</t>
  </si>
  <si>
    <t>Sales to Equity Ratio</t>
  </si>
  <si>
    <t>Segments</t>
  </si>
  <si>
    <t>Geographic segments</t>
  </si>
  <si>
    <t>Segment</t>
  </si>
  <si>
    <t>FY2025</t>
  </si>
  <si>
    <t>FY2024</t>
  </si>
  <si>
    <t>FY2023</t>
  </si>
  <si>
    <t>CHINA</t>
  </si>
  <si>
    <t>Other Americas</t>
  </si>
  <si>
    <t>SINGAPORE</t>
  </si>
  <si>
    <t>TAIWAN, PROVINCE OF CHINA</t>
  </si>
  <si>
    <t>UNITED STATES</t>
  </si>
  <si>
    <t>Total</t>
  </si>
  <si>
    <t>Operating segments</t>
  </si>
  <si>
    <t>Automotive</t>
  </si>
  <si>
    <t>Data Center</t>
  </si>
  <si>
    <t>Gaming</t>
  </si>
  <si>
    <t>OEM And Other</t>
  </si>
  <si>
    <t>Professional Visualization</t>
  </si>
  <si>
    <t>Multiples</t>
  </si>
  <si>
    <t>Metric</t>
  </si>
  <si>
    <t>Company multiple</t>
  </si>
  <si>
    <t>Percentile of industry multiples</t>
  </si>
  <si>
    <t>Price-to-sales</t>
  </si>
  <si>
    <t>35.4x</t>
  </si>
  <si>
    <t>≥90th</t>
  </si>
  <si>
    <t>Price-to-earnings</t>
  </si>
  <si>
    <t>57.3x</t>
  </si>
  <si>
    <t>67th</t>
  </si>
  <si>
    <t>Price-to-book</t>
  </si>
  <si>
    <t>42.4x</t>
  </si>
  <si>
    <t>Values show the company's implied share price if it traded at the peer multiple for the listed percentile.</t>
  </si>
  <si>
    <t>Implied prices</t>
  </si>
  <si>
    <t>P10</t>
  </si>
  <si>
    <t>P25</t>
  </si>
  <si>
    <t>P50</t>
  </si>
  <si>
    <t>P75</t>
  </si>
  <si>
    <t>P90</t>
  </si>
  <si>
    <t>Cost of equity</t>
  </si>
  <si>
    <t>Risk-free rate calculation</t>
  </si>
  <si>
    <t>Ten-year bond yield</t>
  </si>
  <si>
    <t>Bond yield country</t>
  </si>
  <si>
    <t>United States of America</t>
  </si>
  <si>
    <t>Default spread</t>
  </si>
  <si>
    <t>Risk-free rate</t>
  </si>
  <si>
    <t>Beta calculation</t>
  </si>
  <si>
    <t>Sales</t>
  </si>
  <si>
    <t>EV/Sales</t>
  </si>
  <si>
    <t>Weight</t>
  </si>
  <si>
    <t>Business beta</t>
  </si>
  <si>
    <t>Debt-to-equity ratio</t>
  </si>
  <si>
    <t>Cash-to-firm ratio</t>
  </si>
  <si>
    <t>Marginal tax rate</t>
  </si>
  <si>
    <t>Equity beta</t>
  </si>
  <si>
    <t>Beta selection notes</t>
  </si>
  <si>
    <t>Software - Application (50th percentile of the industry)</t>
  </si>
  <si>
    <t>Professional visualisation demand is linked to business investment and creative workflows, which are somewhat cyclical but typically steadier than consumer gaming. Given the blend of recurring software elements and high fixed development costs, overall risk looks close to the industry middle.</t>
  </si>
  <si>
    <t>Hardware, Equipment &amp; Parts (50th percentile of the industry)</t>
  </si>
  <si>
    <t>This bucket is a mix of hardware-related sales with varied end uses and typically less clear cyclicality than pure gaming or data centre. With mixed evidence on product risk and operating leverage, the median industry beta is the most balanced choice.</t>
  </si>
  <si>
    <t>Electronic Gaming &amp; Multimedia (60th percentile of the industry)</t>
  </si>
  <si>
    <t>Gaming GPUs are discretionary purchases and tend to weaken when consumers cut spending, making revenues more cyclical than essential tech. NVIDIA also has meaningful fixed costs in product development and software, so operating leverage increases the risk versus the median peer.</t>
  </si>
  <si>
    <t>Semiconductors (70th percentile of the industry)</t>
  </si>
  <si>
    <t>Data centre AI platforms are strongly driven by enterprise and hyperscaler capital spending, which is cyclical and can change quickly with budgets and technology shifts. The cost base is heavily fixed through R&amp;D and ecosystem investment, so profitability is sensitive to demand and competitive moves.</t>
  </si>
  <si>
    <t>Auto - Manufacturers (60th percentile of the industry)</t>
  </si>
  <si>
    <t>This segment is tied to vehicle production cycles and long design-win timelines, so demand can swing with broader economic conditions. It also carries high fixed engineering and platform costs, which can amplify earnings volatility when volumes move.</t>
  </si>
  <si>
    <t>Equity risk premium (ERP) calculation</t>
  </si>
  <si>
    <t>Country</t>
  </si>
  <si>
    <t>ERP</t>
  </si>
  <si>
    <t>Tax rate</t>
  </si>
  <si>
    <t>Latin America (LATAM)</t>
  </si>
  <si>
    <t>Taiwan</t>
  </si>
  <si>
    <t>Singapore</t>
  </si>
  <si>
    <t>China</t>
  </si>
  <si>
    <t>Company equity risk premium</t>
  </si>
  <si>
    <t>Cost of equity calculation</t>
  </si>
  <si>
    <t>Plus: Equity beta × Equity risk premium</t>
  </si>
  <si>
    <t>Equity risk premium</t>
  </si>
  <si>
    <t>Stable cost of equity calculation</t>
  </si>
  <si>
    <t>Plus: Stable beta (clamped) × Equity risk premium</t>
  </si>
  <si>
    <t>Stable beta (clamped)</t>
  </si>
  <si>
    <t>Stable cost of equity</t>
  </si>
  <si>
    <t>Scenarios</t>
  </si>
  <si>
    <t>Case</t>
  </si>
  <si>
    <t>Per Share</t>
  </si>
  <si>
    <t>Upside %</t>
  </si>
  <si>
    <t>base</t>
  </si>
  <si>
    <t>bear</t>
  </si>
  <si>
    <t>bull</t>
  </si>
  <si>
    <t>Bull-case scenario</t>
  </si>
  <si>
    <t>Value per share</t>
  </si>
  <si>
    <t>NVIDIA remains in a late high-growth stage and turns its AI lead into a broader platform business. It scales Blackwell-class systems fast and pairs them with networking and enterprise software, which lifts recurring revenue and increases switching costs. It converts multi-year cloud and enterprise demand into sustained growth that stays above the sector for longer than most expect, while China limits prove manageable through compliant products and geographic mix shifts. It keeps premium profitability because software attach and integrated systems protect pricing, even as it continues to fund heavy R and D and capacity build-out.</t>
  </si>
  <si>
    <t>Value driver</t>
  </si>
  <si>
    <t>I keep NVIDIA in a late high-growth phase and assume it sustains stronger demand than the consensus path implies, helped by faster Blackwell ramps and broader enterprise adoption. The analyst revenue line already implies very high medium-term expansion, so I only push the first-half growth rate moderately above the base case to keep it plausible for a six-year CAGR before it tapers.</t>
  </si>
  <si>
    <t>I set terminal growth close to the risk-free rate and keep it below it to meet the hard constraint. In the bull case, NVIDIA exits high growth as a scaled platform supplier with some durable software and services pull-through, so it can hold a slightly higher long-run growth rate than the base case without assuming it outgrows the economy forever.</t>
  </si>
  <si>
    <t>I extend the fade because the bull case assumes AI compute demand broadens beyond hyperscalers into enterprise and industry, which lengthens the runway. A 14-year horizon makes 32% plausible as a seven-year growth run before growth slows towards a mature rate, which fits a platform shift rather than a short chip cycle.</t>
  </si>
  <si>
    <t>I assume NVIDIA stays more capital-light than in the base case because software mix rises and scale improves working capital discipline even while it funds capacity. This keeps the ratio above semiconductor norms and supports fast growth with less equity reinvestment per $1 of sales.</t>
  </si>
  <si>
    <t>I assume NVIDIA holds more of its current economic rents because the CUDA ecosystem, networking attach, and systems plus software bundling reduce price pressure. I still fade margins from the unusually high adjusted peak, but I set a higher stable level than base to reflect stickier platform pricing and more recurring software and services.</t>
  </si>
  <si>
    <t>I assume the transition charges and inventory provisions prove more one-off than feared, and mix shifts back towards higher-margin data-centre systems faster. Analysts’ net income margins can look lower because they expense R and D and go-to-market spend that I capitalise, so I keep the adjusted margin high while allowing for elevated investment.</t>
  </si>
  <si>
    <t>I let margins normalise more slowly than in the base case because the bull narrative relies on a durable moat and rising software contribution that delays competitive erosion. Nine years also matches a longer growth runway where NVIDIA reinvests heavily but still keeps strong pricing power.</t>
  </si>
  <si>
    <t>I assume NVIDIA sustains above-average returns in maturity because it keeps a platform advantage and remains relatively capital-light versus growth. I set stable ROE higher than base but far below the recent adjusted peak, since competition and reinvestment still rise as the market scales.</t>
  </si>
  <si>
    <t>Aaa/AAA</t>
  </si>
  <si>
    <t>I assume cash generation stays very large and the balance sheet remains net-cash even with higher capex and long-dated cloud commitments. That combination supports the highest rating in a bull case because default risk stays remote despite semiconductor cyclicality.</t>
  </si>
  <si>
    <t>I assume higher recoveries because the bull case implies stronger balance sheet liquidity and more valuable recurring software relationships alongside the core IP. I do not push it too high because inventory obsolescence and purchase commitments can still reduce recoveries in a stress case.</t>
  </si>
  <si>
    <t>Bear-case scenario</t>
  </si>
  <si>
    <t>NVIDIA moves into a slower growth phase as the AI infrastructure boom cools and customers shift from rapid build-out to optimisation and cost control. Export controls tighten further and reduce addressable demand in some regions, while large buyers use their scale to press on price and contract terms. Competitors and in-house silicon improve enough to take share in several workloads, so NVIDIA relies more on software and networking to defend the platform. This keeps NVIDIA in late growth but with a faster path to maturity, lower pricing power, and a clearer risk of margin normalisation.</t>
  </si>
  <si>
    <t>I assume the AI build-out slows and becomes more price-led as hyperscalers optimise spend, rivals catch up, and export limits reduce some demand. Analysts still imply very large revenue expansion over the medium term, so I keep growth strong, but I set it well below the base case to reflect a harsher cycle with more pauses and order swings.</t>
  </si>
  <si>
    <t>I set terminal growth just below the 3.752% risk-free rate to meet the hard constraint. In this bear case, NVIDIA matures into a large platform supplier with slower unit growth and more regulation and competition, so it grows near the wider economy rather than at an exceptional rate.</t>
  </si>
  <si>
    <t>I treat NVIDIA as moving from late high-growth into earlier maturity faster because competitive supply improves and customers push harder on total cost. A 10-year fade makes 16% plausible as a five-year growth run-rate, then I taper towards stable growth as AI spend normalises and the base gets very large.</t>
  </si>
  <si>
    <t>I assume capital needs rise as NVIDIA funds higher capex, longer supply-chain commitments, and more cloud and infrastructure build, while revenue growth cools. That combination reduces capital efficiency versus the base case and pushes the ratio towards, but still above, typical semiconductor levels because software and platform revenue stay meaningful.</t>
  </si>
  <si>
    <t>I assume pricing pressure, higher ongoing R&amp;D and infrastructure costs, and recurring inventory and transition charges pull margins down from the recent extreme adjusted peak. I still keep the margin above the industry median because the CUDA ecosystem and software attach keep some pricing power even when hardware economics normalise.</t>
  </si>
  <si>
    <t>I assume the next year absorbs more transition friction and write-down risk like the H20-related charge described in filings, while operating costs stay elevated to defend the platform. I do not drop straight to the stable level because the mix remains data-centre heavy and scale still supports strong gross profit, even in a tougher pricing environment.</t>
  </si>
  <si>
    <t>I assume the margin reset happens earlier than in the base case because customers gain bargaining power and competitors close performance gaps faster. Six years gives time for the software layer to cushion the decline, but it still reflects a quicker move towards more normal, industry-like profitability.</t>
  </si>
  <si>
    <t>I assume NVIDIA keeps earning above its stable cost of equity because the platform and developer ecosystem remain valuable, but it loses the extraordinary returns driven by a supply-constrained demand shock. A mid-teens ROE fits a mature leader facing heavier reinvestment and tighter pricing.</t>
  </si>
  <si>
    <t>A1/A+</t>
  </si>
  <si>
    <t>I keep NVIDIA firmly investment grade because it has scale, strong cash generation, and modest debt, even after large commitments. I notch the rating down from the base case because this scenario includes more earnings volatility, higher fixed commitments, and greater regulatory risk around key regions and customers.</t>
  </si>
  <si>
    <t>I assume lower recovery in stress because specialised inventory, prepaid capacity, and fast product obsolescence reduce resale value when demand drops. The brand and software ecosystem still support meaningful franchise value, so I do not push recovery to distressed-tech extremes.</t>
  </si>
  <si>
    <t>Sensitivity</t>
  </si>
  <si>
    <t xml:space="preserve">Stable growth rate →
↓ Cost of equity</t>
  </si>
  <si>
    <t>Note: Green cells indicate scenarios where the calculated intrinsic value per share is above the current market price, suggesting potential undervaluation. Red cells indicate scenarios where the intrinsic value is below the market price, suggesting potential overvaluation.</t>
  </si>
  <si>
    <t>Reverse DCF</t>
  </si>
  <si>
    <t>Driver</t>
  </si>
  <si>
    <t>Base Value</t>
  </si>
  <si>
    <t>Market Implied</t>
  </si>
  <si>
    <t>Difference</t>
  </si>
  <si>
    <t>Monte-Carlo simulation percentile distribution</t>
  </si>
  <si>
    <t>Percentile</t>
  </si>
  <si>
    <t>Price</t>
  </si>
  <si>
    <t>P0</t>
  </si>
  <si>
    <t>P5</t>
  </si>
  <si>
    <t>P15</t>
  </si>
  <si>
    <t>P20</t>
  </si>
  <si>
    <t>P30</t>
  </si>
  <si>
    <t>P35</t>
  </si>
  <si>
    <t>P40</t>
  </si>
  <si>
    <t>P45</t>
  </si>
  <si>
    <t>P55</t>
  </si>
  <si>
    <t>P60</t>
  </si>
  <si>
    <t>P65</t>
  </si>
  <si>
    <t>P70</t>
  </si>
  <si>
    <t>P80</t>
  </si>
  <si>
    <t>P85</t>
  </si>
  <si>
    <t>P95</t>
  </si>
  <si>
    <t>P100</t>
  </si>
  <si>
    <t>The Monte Carlo distribution maps simulated prices to percentiles. Recommendations follow these: below the 10th is a Strong Buy, below the 25th a Buy, the 25th–75th a Hold, the 75th–90th a Sell, and anything higher a Strong Sell. Green shading indicates buy zones, gray indicates hold, and red indicates sell zones.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</si>
</sst>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quot;US$&quot;#,##0.00"/>
    <numFmt numFmtId="165" formatCode="0.0%"/>
    <numFmt numFmtId="166" formatCode="yyyy-mm-dd"/>
    <numFmt numFmtId="167" formatCode="#,##0.0"/>
    <numFmt numFmtId="168" formatCode="0.0"/>
    <numFmt numFmtId="169" formatCode="0.000"/>
    <numFmt numFmtId="170" formatCode="&quot;US$&quot;#,##0"/>
    <numFmt numFmtId="171" formatCode="&quot;US$&quot;#,##0.0"/>
    <numFmt numFmtId="172" formatCode="#0.0"/>
  </numFmts>
  <fonts count="19" x14ac:knownFonts="1">
    <font>
      <color theme="1"/>
      <family val="2"/>
      <scheme val="minor"/>
      <sz val="11"/>
      <name val="Calibri"/>
    </font>
    <font>
      <b/>
      <color rgb="FF0284c7"/>
      <sz val="32"/>
    </font>
    <font>
      <b/>
      <color rgb="FF111827"/>
      <sz val="26"/>
    </font>
    <font>
      <color rgb="FF111827"/>
      <sz val="12"/>
    </font>
    <font>
      <u/>
      <color rgb="FF0284c7"/>
      <sz val="12"/>
    </font>
    <font>
      <color rgb="FF111827"/>
      <sz val="10"/>
    </font>
    <font>
      <b/>
      <color rgb="FFFFFFFF"/>
      <sz val="26"/>
    </font>
    <font>
      <sz val="12"/>
    </font>
    <font>
      <color rgb="FF1F4E79"/>
      <sz val="12"/>
    </font>
    <font>
      <b/>
      <u/>
    </font>
    <font>
      <b/>
      <u/>
      <sz val="12"/>
    </font>
    <font>
      <b/>
      <sz val="12"/>
    </font>
    <font>
      <b/>
      <color rgb="FF000000"/>
      <sz val="12"/>
    </font>
    <font>
      <color rgb="FF000000"/>
      <sz val="12"/>
    </font>
    <font>
      <b/>
    </font>
    <font>
      <b/>
      <color rgb="FF1F4E79"/>
      <sz val="12"/>
    </font>
    <font>
      <i/>
    </font>
    <font>
      <i/>
      <sz val="12"/>
    </font>
    <font>
      <sz val="10"/>
    </font>
  </fonts>
  <fills count="11">
    <fill>
      <patternFill patternType="none"/>
    </fill>
    <fill>
      <patternFill patternType="gray125"/>
    </fill>
    <fill>
      <patternFill patternType="solid">
        <fgColor rgb="FF0284c7"/>
      </patternFill>
    </fill>
    <fill>
      <patternFill patternType="solid">
        <fgColor rgb="FFFFFDE6"/>
      </patternFill>
    </fill>
    <fill>
      <patternFill patternType="solid">
        <fgColor rgb="FFFCE5CD"/>
      </patternFill>
    </fill>
    <fill>
      <patternFill patternType="solid">
        <fgColor rgb="FFFFE6E6"/>
      </patternFill>
    </fill>
    <fill>
      <patternFill patternType="solid">
        <fgColor rgb="FF198754"/>
      </patternFill>
    </fill>
    <fill>
      <patternFill patternType="solid">
        <fgColor rgb="FFD1E7DD"/>
      </patternFill>
    </fill>
    <fill>
      <patternFill patternType="solid">
        <fgColor rgb="FFE5E7EB"/>
      </patternFill>
    </fill>
    <fill>
      <patternFill patternType="solid">
        <fgColor rgb="FFF8D7DA"/>
      </patternFill>
    </fill>
    <fill>
      <patternFill patternType="solid">
        <fgColor rgb="FFDC3545"/>
      </patternFill>
    </fill>
  </fills>
  <borders count="5">
    <border>
      <left/>
      <right/>
      <top/>
      <bottom/>
      <diagonal/>
    </border>
    <border>
      <left/>
      <right/>
      <top/>
      <bottom style="thin">
        <color rgb="FF0284c7"/>
      </bottom>
      <diagonal/>
    </border>
    <border>
      <left style="thin">
        <color rgb="FF000000"/>
      </left>
      <right style="thin">
        <color rgb="FF000000"/>
      </right>
      <top style="thin">
        <color rgb="FF000000"/>
      </top>
      <bottom style="thin">
        <color rgb="FF000000"/>
      </bottom>
      <diagonal/>
    </border>
    <border>
      <left/>
      <right/>
      <top/>
      <bottom style="thin"/>
      <diagonal/>
    </border>
    <border>
      <left/>
      <right style="thin"/>
      <top/>
      <bottom/>
      <diagonal/>
    </border>
  </borders>
  <cellStyleXfs count="1">
    <xf numFmtId="0" fontId="0" fillId="0" borderId="0"/>
  </cellStyleXfs>
  <cellXfs count="77">
    <xf numFmtId="0" fontId="0" fillId="0" borderId="0" xfId="0"/>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0" fillId="0" borderId="0" xfId="0" applyAlignment="1">
      <alignment horizontal="left"/>
    </xf>
    <xf numFmtId="0" fontId="0" fillId="0" borderId="0" xfId="0" applyAlignment="1">
      <alignment horizontal="right"/>
    </xf>
    <xf numFmtId="0" fontId="6" fillId="2" borderId="1" xfId="0" applyFont="1" applyFill="1" applyBorder="1" applyAlignment="1">
      <alignment horizontal="left" vertical="center"/>
    </xf>
    <xf numFmtId="0" fontId="6" fillId="2" borderId="1" xfId="0" applyFont="1" applyFill="1" applyBorder="1" applyAlignment="1">
      <alignment horizontal="left"/>
    </xf>
    <xf numFmtId="0" fontId="6" fillId="2" borderId="1" xfId="0" applyFont="1" applyFill="1" applyBorder="1" applyAlignment="1">
      <alignment horizontal="right"/>
    </xf>
    <xf numFmtId="0" fontId="7" fillId="0" borderId="0" xfId="0" applyFont="1" applyAlignment="1">
      <alignment horizontal="left"/>
    </xf>
    <xf numFmtId="0" fontId="7" fillId="0" borderId="0" xfId="0" applyFont="1" applyAlignment="1">
      <alignment horizontal="right"/>
    </xf>
    <xf numFmtId="164" fontId="8" fillId="0" borderId="0" xfId="0" applyNumberFormat="1" applyFont="1" applyAlignment="1">
      <alignment horizontal="right"/>
    </xf>
    <xf numFmtId="165" fontId="8" fillId="0" borderId="0" xfId="0" applyNumberFormat="1" applyFont="1" applyAlignment="1">
      <alignment horizontal="right"/>
    </xf>
    <xf numFmtId="166" fontId="7" fillId="0" borderId="0" xfId="0" applyNumberFormat="1" applyFont="1" applyAlignment="1">
      <alignment horizontal="right"/>
    </xf>
    <xf numFmtId="167" fontId="8" fillId="0" borderId="0" xfId="0" applyNumberFormat="1" applyFont="1" applyAlignment="1">
      <alignment horizontal="right"/>
    </xf>
    <xf numFmtId="0" fontId="9" fillId="0" borderId="0" xfId="0" applyFont="1"/>
    <xf numFmtId="0" fontId="10" fillId="0" borderId="0" xfId="0" applyFont="1" applyAlignment="1">
      <alignment horizontal="left"/>
    </xf>
    <xf numFmtId="165" fontId="8" fillId="3" borderId="2" xfId="0" applyNumberFormat="1" applyFont="1" applyFill="1" applyBorder="1" applyAlignment="1">
      <alignment horizontal="right"/>
    </xf>
    <xf numFmtId="167" fontId="8" fillId="3" borderId="2" xfId="0" applyNumberFormat="1" applyFont="1" applyFill="1" applyBorder="1" applyAlignment="1">
      <alignment horizontal="right"/>
    </xf>
    <xf numFmtId="0" fontId="11" fillId="0" borderId="3" xfId="0" applyFont="1" applyBorder="1" applyAlignment="1">
      <alignment horizontal="left"/>
    </xf>
    <xf numFmtId="0" fontId="11" fillId="0" borderId="3" xfId="0" applyFont="1" applyBorder="1" applyAlignment="1">
      <alignment horizontal="right"/>
    </xf>
    <xf numFmtId="0" fontId="12" fillId="0" borderId="3" xfId="0" applyFont="1" applyBorder="1" applyAlignment="1">
      <alignment horizontal="right"/>
    </xf>
    <xf numFmtId="3" fontId="13" fillId="0" borderId="0" xfId="0" applyNumberFormat="1" applyFont="1" applyAlignment="1">
      <alignment horizontal="right"/>
    </xf>
    <xf numFmtId="165" fontId="13" fillId="0" borderId="0" xfId="0" applyNumberFormat="1" applyFont="1" applyAlignment="1">
      <alignment horizontal="right"/>
    </xf>
    <xf numFmtId="168" fontId="13" fillId="0" borderId="0" xfId="0" applyNumberFormat="1" applyFont="1" applyAlignment="1">
      <alignment horizontal="right"/>
    </xf>
    <xf numFmtId="169" fontId="13" fillId="0" borderId="0" xfId="0" applyNumberFormat="1" applyFont="1" applyAlignment="1">
      <alignment horizontal="right"/>
    </xf>
    <xf numFmtId="3" fontId="8" fillId="0" borderId="0" xfId="0" applyNumberFormat="1" applyFont="1" applyAlignment="1">
      <alignment horizontal="right"/>
    </xf>
    <xf numFmtId="167" fontId="13" fillId="0" borderId="0" xfId="0" applyNumberFormat="1" applyFont="1" applyAlignment="1">
      <alignment horizontal="right"/>
    </xf>
    <xf numFmtId="164" fontId="13" fillId="4" borderId="0" xfId="0" applyNumberFormat="1" applyFont="1" applyFill="1" applyAlignment="1">
      <alignment horizontal="right"/>
    </xf>
    <xf numFmtId="0" fontId="10" fillId="0" borderId="0" xfId="0" applyFont="1" applyAlignment="1">
      <alignment horizontal="right"/>
    </xf>
    <xf numFmtId="0" fontId="14" fillId="0" borderId="0" xfId="0" applyFont="1"/>
    <xf numFmtId="3" fontId="8" fillId="0" borderId="0" xfId="0" applyNumberFormat="1" applyFont="1" applyAlignment="1">
      <alignment horizontal="left"/>
    </xf>
    <xf numFmtId="1" fontId="8" fillId="0" borderId="0" xfId="0" applyNumberFormat="1" applyFont="1" applyAlignment="1">
      <alignment horizontal="left"/>
    </xf>
    <xf numFmtId="164" fontId="7" fillId="0" borderId="0" xfId="0" applyNumberFormat="1" applyFont="1" applyAlignment="1">
      <alignment horizontal="right"/>
    </xf>
    <xf numFmtId="0" fontId="11" fillId="0" borderId="0" xfId="0" applyFont="1" applyAlignment="1">
      <alignment horizontal="right"/>
    </xf>
    <xf numFmtId="1" fontId="15" fillId="0" borderId="3" xfId="0" applyNumberFormat="1" applyFont="1" applyBorder="1" applyAlignment="1">
      <alignment horizontal="right"/>
    </xf>
    <xf numFmtId="165" fontId="0" fillId="0" borderId="0" xfId="0" applyNumberFormat="1" applyAlignment="1">
      <alignment horizontal="right"/>
    </xf>
    <xf numFmtId="165" fontId="6" fillId="2" borderId="1" xfId="0" applyNumberFormat="1" applyFont="1" applyFill="1" applyBorder="1" applyAlignment="1">
      <alignment horizontal="right"/>
    </xf>
    <xf numFmtId="165" fontId="7" fillId="0" borderId="0" xfId="0" applyNumberFormat="1" applyFont="1" applyAlignment="1">
      <alignment horizontal="right"/>
    </xf>
    <xf numFmtId="165" fontId="11" fillId="0" borderId="3" xfId="0" applyNumberFormat="1" applyFont="1" applyBorder="1" applyAlignment="1">
      <alignment horizontal="right"/>
    </xf>
    <xf numFmtId="0" fontId="11" fillId="0" borderId="0" xfId="0" applyFont="1" applyAlignment="1">
      <alignment horizontal="left"/>
    </xf>
    <xf numFmtId="0" fontId="16" fillId="0" borderId="0" xfId="0" applyFont="1"/>
    <xf numFmtId="0" fontId="17" fillId="0" borderId="0" xfId="0" applyFont="1" applyAlignment="1">
      <alignment horizontal="right"/>
    </xf>
    <xf numFmtId="170" fontId="8" fillId="0" borderId="0" xfId="0" applyNumberFormat="1" applyFont="1" applyAlignment="1">
      <alignment horizontal="right"/>
    </xf>
    <xf numFmtId="171" fontId="8" fillId="0" borderId="0" xfId="0" applyNumberFormat="1" applyFont="1" applyAlignment="1">
      <alignment horizontal="right"/>
    </xf>
    <xf numFmtId="172" fontId="13" fillId="0" borderId="0" xfId="0" applyNumberFormat="1" applyFont="1" applyAlignment="1">
      <alignment horizontal="right"/>
    </xf>
    <xf numFmtId="164" fontId="0" fillId="0" borderId="0" xfId="0" applyNumberFormat="1" applyAlignment="1">
      <alignment horizontal="right"/>
    </xf>
    <xf numFmtId="165" fontId="0" fillId="0" borderId="0" xfId="0" applyNumberFormat="1" applyAlignment="1">
      <alignment horizontal="left"/>
    </xf>
    <xf numFmtId="164" fontId="6" fillId="2" borderId="1" xfId="0" applyNumberFormat="1" applyFont="1" applyFill="1" applyBorder="1" applyAlignment="1">
      <alignment horizontal="right"/>
    </xf>
    <xf numFmtId="165" fontId="6" fillId="2" borderId="1" xfId="0" applyNumberFormat="1" applyFont="1" applyFill="1" applyBorder="1" applyAlignment="1">
      <alignment horizontal="left"/>
    </xf>
    <xf numFmtId="165" fontId="7" fillId="0" borderId="0" xfId="0" applyNumberFormat="1" applyFont="1" applyAlignment="1">
      <alignment horizontal="left"/>
    </xf>
    <xf numFmtId="164" fontId="11" fillId="0" borderId="3" xfId="0" applyNumberFormat="1" applyFont="1" applyBorder="1" applyAlignment="1">
      <alignment horizontal="right"/>
    </xf>
    <xf numFmtId="165" fontId="11" fillId="0" borderId="3" xfId="0" applyNumberFormat="1" applyFont="1" applyBorder="1" applyAlignment="1">
      <alignment horizontal="left"/>
    </xf>
    <xf numFmtId="165" fontId="8" fillId="0" borderId="0" xfId="0" applyNumberFormat="1" applyFont="1" applyAlignment="1">
      <alignment horizontal="left"/>
    </xf>
    <xf numFmtId="164" fontId="10" fillId="0" borderId="0" xfId="0" applyNumberFormat="1" applyFont="1" applyAlignment="1">
      <alignment horizontal="right"/>
    </xf>
    <xf numFmtId="165" fontId="10" fillId="0" borderId="0" xfId="0" applyNumberFormat="1" applyFont="1" applyAlignment="1">
      <alignment horizontal="left"/>
    </xf>
    <xf numFmtId="10" fontId="11" fillId="0" borderId="3" xfId="0" applyNumberFormat="1" applyFont="1" applyBorder="1" applyAlignment="1">
      <alignment horizontal="right"/>
    </xf>
    <xf numFmtId="165" fontId="11" fillId="0" borderId="4" xfId="0" applyNumberFormat="1" applyFont="1" applyBorder="1" applyAlignment="1">
      <alignment horizontal="left"/>
    </xf>
    <xf numFmtId="164" fontId="7" fillId="5" borderId="0" xfId="0" applyNumberFormat="1" applyFont="1" applyFill="1" applyAlignment="1">
      <alignment horizontal="right"/>
    </xf>
    <xf numFmtId="0" fontId="5" fillId="0" borderId="0" xfId="0" applyFont="1"/>
    <xf numFmtId="0" fontId="5" fillId="0" borderId="0" xfId="0" applyFont="1" applyAlignment="1">
      <alignment horizontal="left"/>
    </xf>
    <xf numFmtId="0" fontId="5" fillId="0" borderId="0" xfId="0" applyFont="1" applyAlignment="1">
      <alignment horizontal="right"/>
    </xf>
    <xf numFmtId="167" fontId="0" fillId="0" borderId="0" xfId="0" applyNumberFormat="1" applyAlignment="1">
      <alignment horizontal="right"/>
    </xf>
    <xf numFmtId="167" fontId="6" fillId="2" borderId="1" xfId="0" applyNumberFormat="1" applyFont="1" applyFill="1" applyBorder="1" applyAlignment="1">
      <alignment horizontal="right"/>
    </xf>
    <xf numFmtId="167" fontId="7" fillId="0" borderId="0" xfId="0" applyNumberFormat="1" applyFont="1" applyAlignment="1">
      <alignment horizontal="right"/>
    </xf>
    <xf numFmtId="167" fontId="11" fillId="0" borderId="3" xfId="0" applyNumberFormat="1" applyFont="1" applyBorder="1" applyAlignment="1">
      <alignment horizontal="right"/>
    </xf>
    <xf numFmtId="168" fontId="8" fillId="0" borderId="0" xfId="0" applyNumberFormat="1" applyFont="1" applyAlignment="1">
      <alignment horizontal="right"/>
    </xf>
    <xf numFmtId="167" fontId="10" fillId="0" borderId="0" xfId="0" applyNumberFormat="1" applyFont="1" applyAlignment="1">
      <alignment horizontal="right"/>
    </xf>
    <xf numFmtId="167" fontId="11" fillId="0" borderId="0" xfId="0" applyNumberFormat="1" applyFont="1" applyAlignment="1">
      <alignment horizontal="right"/>
    </xf>
    <xf numFmtId="164" fontId="7" fillId="6" borderId="0" xfId="0" applyNumberFormat="1" applyFont="1" applyFill="1" applyAlignment="1">
      <alignment horizontal="right"/>
    </xf>
    <xf numFmtId="164" fontId="7" fillId="7" borderId="0" xfId="0" applyNumberFormat="1" applyFont="1" applyFill="1" applyAlignment="1">
      <alignment horizontal="right"/>
    </xf>
    <xf numFmtId="164" fontId="7" fillId="8" borderId="0" xfId="0" applyNumberFormat="1" applyFont="1" applyFill="1" applyAlignment="1">
      <alignment horizontal="right"/>
    </xf>
    <xf numFmtId="164" fontId="7" fillId="9" borderId="0" xfId="0" applyNumberFormat="1" applyFont="1" applyFill="1" applyAlignment="1">
      <alignment horizontal="right"/>
    </xf>
    <xf numFmtId="164" fontId="7" fillId="10" borderId="0" xfId="0" applyNumberFormat="1" applyFont="1" applyFill="1" applyAlignment="1">
      <alignment horizontal="right"/>
    </xf>
    <xf numFmtId="0" fontId="18"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valuationbot.ai/analysis/d4ff1730-dd26-48a4-9e2c-eac715306b9d/results" TargetMode="External"/><Relationship Id="rId2" Type="http://schemas.openxmlformats.org/officeDocument/2006/relationships/hyperlink" Target="https://valuationbot.a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owGridLines="0"/>
  </sheetViews>
  <sheetFormatPr defaultRowHeight="15" outlineLevelRow="0" outlineLevelCol="0" x14ac:dyDescent="55"/>
  <cols>
    <col min="1" max="2" width="50" customWidth="1"/>
  </cols>
  <sheetData>
    <row r="1" spans="1:2" x14ac:dyDescent="0.25">
      <c r="A1" s="1" t="s">
        <v>0</v>
      </c>
      <c r="B1" s="1"/>
    </row>
    <row r="2" spans="1:2" x14ac:dyDescent="0.25">
      <c r="A2" s="2" t="s">
        <v>1</v>
      </c>
      <c r="B2" s="2"/>
    </row>
    <row r="3" spans="1:2" x14ac:dyDescent="0.25">
      <c r="A3" s="3" t="s">
        <v>2</v>
      </c>
      <c r="B3" s="3"/>
    </row>
    <row r="4" spans="1:2" x14ac:dyDescent="0.25">
      <c r="A4" s="3" t="s">
        <v>3</v>
      </c>
      <c r="B4" s="3"/>
    </row>
    <row r="5" spans="1:2" x14ac:dyDescent="0.25">
      <c r="A5" s="3" t="s">
        <v>4</v>
      </c>
      <c r="B5" s="3"/>
    </row>
    <row r="6" spans="1:2" x14ac:dyDescent="0.25">
      <c r="A6" s="3" t="s">
        <v>5</v>
      </c>
      <c r="B6" s="3"/>
    </row>
    <row r="7" spans="1:2" x14ac:dyDescent="0.25">
      <c r="A7" s="4" t="s">
        <v>6</v>
      </c>
      <c r="B7" s="4"/>
    </row>
    <row r="8" spans="1:2" x14ac:dyDescent="0.25">
      <c r="A8" s="4" t="s">
        <v>0</v>
      </c>
      <c r="B8" s="4"/>
    </row>
    <row r="9" spans="1:2" x14ac:dyDescent="0.25">
      <c r="A9" s="5" t="s">
        <v>7</v>
      </c>
      <c r="B9" s="5"/>
    </row>
    <row r="10" spans="1:2" x14ac:dyDescent="0.25">
      <c r="A10" s="5" t="s">
        <v>8</v>
      </c>
      <c r="B10" s="5"/>
    </row>
  </sheetData>
  <mergeCells count="10">
    <mergeCell ref="A1:B1"/>
    <mergeCell ref="A2:B2"/>
    <mergeCell ref="A3:B3"/>
    <mergeCell ref="A4:B4"/>
    <mergeCell ref="A5:B5"/>
    <mergeCell ref="A6:B6"/>
    <mergeCell ref="A7:B7"/>
    <mergeCell ref="A8:B8"/>
    <mergeCell ref="A9:B9"/>
    <mergeCell ref="A10:B10"/>
  </mergeCells>
  <hyperlinks>
    <hyperlink ref="A7" r:id="rId1"/>
    <hyperlink ref="A8" r:id="rId2"/>
  </hyperlinks>
  <pageMargins left="0.7" right="0.7" top="0.75" bottom="0.75" header="0.3" footer="0.3"/>
  <pageSetup orientation="portrait" horizontalDpi="4294967295" verticalDpi="4294967295" scale="100" fitToWidth="1" fitToHeigh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workbookViewId="0" showGridLines="0"/>
  </sheetViews>
  <sheetFormatPr defaultRowHeight="15" outlineLevelRow="0" outlineLevelCol="0" x14ac:dyDescent="55"/>
  <cols>
    <col min="1" max="1" width="20" style="6" customWidth="1"/>
    <col min="2" max="2" width="15" style="48" customWidth="1"/>
    <col min="3" max="3" width="15" style="49" customWidth="1"/>
  </cols>
  <sheetData>
    <row r="1" spans="1:3" s="8" customFormat="1" x14ac:dyDescent="0.25">
      <c r="A1" s="9" t="s">
        <v>198</v>
      </c>
      <c r="B1" s="50"/>
      <c r="C1" s="51"/>
    </row>
    <row r="2" spans="1:3" x14ac:dyDescent="0.25">
      <c r="A2" s="11" t="s">
        <v>10</v>
      </c>
      <c r="B2" s="35"/>
      <c r="C2" s="52"/>
    </row>
    <row r="4" spans="1:3" s="32" customFormat="1" x14ac:dyDescent="0.25">
      <c r="A4" s="21" t="s">
        <v>199</v>
      </c>
      <c r="B4" s="53" t="s">
        <v>200</v>
      </c>
      <c r="C4" s="54" t="s">
        <v>201</v>
      </c>
    </row>
    <row r="5" spans="1:3" x14ac:dyDescent="0.25">
      <c r="A5" s="11" t="s">
        <v>202</v>
      </c>
      <c r="B5" s="13">
        <v>68.42502135676827</v>
      </c>
      <c r="C5" s="55">
        <v>-0.639526807729595</v>
      </c>
    </row>
    <row r="6" spans="1:3" x14ac:dyDescent="0.25">
      <c r="A6" s="11" t="s">
        <v>203</v>
      </c>
      <c r="B6" s="13">
        <v>24.67422557070456</v>
      </c>
      <c r="C6" s="55">
        <v>-0.8700125088467783</v>
      </c>
    </row>
    <row r="7" spans="1:3" x14ac:dyDescent="0.25">
      <c r="A7" s="11" t="s">
        <v>204</v>
      </c>
      <c r="B7" s="13">
        <v>145.707356351303</v>
      </c>
      <c r="C7" s="55">
        <v>-0.2323919694905539</v>
      </c>
    </row>
    <row r="9" spans="1:3" x14ac:dyDescent="0.25">
      <c r="A9" s="18" t="s">
        <v>205</v>
      </c>
      <c r="B9" s="35"/>
      <c r="C9" s="52"/>
    </row>
    <row r="10" spans="1:3" x14ac:dyDescent="0.25">
      <c r="A10" s="11" t="s">
        <v>206</v>
      </c>
      <c r="B10" s="13">
        <v>145.707356351303</v>
      </c>
      <c r="C10" s="52"/>
    </row>
    <row r="11" spans="1:3" x14ac:dyDescent="0.25">
      <c r="A11" s="11" t="s">
        <v>201</v>
      </c>
      <c r="B11" s="14">
        <v>-0.2323919694905539</v>
      </c>
      <c r="C11" s="52"/>
    </row>
    <row r="12" spans="1:3" x14ac:dyDescent="0.25">
      <c r="A12" s="11" t="s">
        <v>207</v>
      </c>
      <c r="B12" s="35"/>
      <c r="C12" s="52"/>
    </row>
    <row r="13" spans="1:3" s="17" customFormat="1" x14ac:dyDescent="0.25">
      <c r="A13" s="18" t="s">
        <v>208</v>
      </c>
      <c r="B13" s="56" t="s">
        <v>96</v>
      </c>
      <c r="C13" s="57" t="s">
        <v>99</v>
      </c>
    </row>
    <row r="14" spans="1:3" x14ac:dyDescent="0.25">
      <c r="A14" s="11" t="s">
        <v>40</v>
      </c>
      <c r="B14" s="14">
        <v>0.32</v>
      </c>
      <c r="C14" s="52" t="s">
        <v>209</v>
      </c>
    </row>
    <row r="15" spans="1:3" x14ac:dyDescent="0.25">
      <c r="A15" s="11" t="s">
        <v>42</v>
      </c>
      <c r="B15" s="14">
        <v>0.035</v>
      </c>
      <c r="C15" s="52" t="s">
        <v>210</v>
      </c>
    </row>
    <row r="16" spans="1:3" x14ac:dyDescent="0.25">
      <c r="A16" s="11" t="s">
        <v>44</v>
      </c>
      <c r="B16" s="16">
        <v>14</v>
      </c>
      <c r="C16" s="52" t="s">
        <v>211</v>
      </c>
    </row>
    <row r="17" spans="1:3" x14ac:dyDescent="0.25">
      <c r="A17" s="11" t="s">
        <v>46</v>
      </c>
      <c r="B17" s="16">
        <v>1.15</v>
      </c>
      <c r="C17" s="52" t="s">
        <v>212</v>
      </c>
    </row>
    <row r="18" spans="1:3" x14ac:dyDescent="0.25">
      <c r="A18" s="11" t="s">
        <v>48</v>
      </c>
      <c r="B18" s="14">
        <v>0.35</v>
      </c>
      <c r="C18" s="52" t="s">
        <v>213</v>
      </c>
    </row>
    <row r="19" spans="1:3" x14ac:dyDescent="0.25">
      <c r="A19" s="11" t="s">
        <v>50</v>
      </c>
      <c r="B19" s="14">
        <v>0.5</v>
      </c>
      <c r="C19" s="52" t="s">
        <v>214</v>
      </c>
    </row>
    <row r="20" spans="1:3" x14ac:dyDescent="0.25">
      <c r="A20" s="11" t="s">
        <v>52</v>
      </c>
      <c r="B20" s="16">
        <v>9</v>
      </c>
      <c r="C20" s="52" t="s">
        <v>215</v>
      </c>
    </row>
    <row r="21" spans="1:3" x14ac:dyDescent="0.25">
      <c r="A21" s="11" t="s">
        <v>54</v>
      </c>
      <c r="B21" s="14">
        <v>0.2</v>
      </c>
      <c r="C21" s="52" t="s">
        <v>216</v>
      </c>
    </row>
    <row r="22" spans="1:3" x14ac:dyDescent="0.25">
      <c r="A22" s="11" t="s">
        <v>56</v>
      </c>
      <c r="B22" s="35" t="s">
        <v>217</v>
      </c>
      <c r="C22" s="52" t="s">
        <v>218</v>
      </c>
    </row>
    <row r="23" spans="1:3" x14ac:dyDescent="0.25">
      <c r="A23" s="11" t="s">
        <v>59</v>
      </c>
      <c r="B23" s="14">
        <v>0.6</v>
      </c>
      <c r="C23" s="52" t="s">
        <v>219</v>
      </c>
    </row>
    <row r="25" spans="1:3" x14ac:dyDescent="0.25">
      <c r="A25" s="18" t="s">
        <v>220</v>
      </c>
      <c r="B25" s="35"/>
      <c r="C25" s="52"/>
    </row>
    <row r="26" spans="1:3" x14ac:dyDescent="0.25">
      <c r="A26" s="11" t="s">
        <v>206</v>
      </c>
      <c r="B26" s="13">
        <v>24.67422557070456</v>
      </c>
      <c r="C26" s="52"/>
    </row>
    <row r="27" spans="1:3" x14ac:dyDescent="0.25">
      <c r="A27" s="11" t="s">
        <v>201</v>
      </c>
      <c r="B27" s="14">
        <v>-0.8700125088467783</v>
      </c>
      <c r="C27" s="52"/>
    </row>
    <row r="28" spans="1:3" x14ac:dyDescent="0.25">
      <c r="A28" s="11" t="s">
        <v>221</v>
      </c>
      <c r="B28" s="35"/>
      <c r="C28" s="52"/>
    </row>
    <row r="29" spans="1:3" s="17" customFormat="1" x14ac:dyDescent="0.25">
      <c r="A29" s="18" t="s">
        <v>208</v>
      </c>
      <c r="B29" s="56" t="s">
        <v>96</v>
      </c>
      <c r="C29" s="57" t="s">
        <v>99</v>
      </c>
    </row>
    <row r="30" spans="1:3" x14ac:dyDescent="0.25">
      <c r="A30" s="11" t="s">
        <v>40</v>
      </c>
      <c r="B30" s="14">
        <v>0.16</v>
      </c>
      <c r="C30" s="52" t="s">
        <v>222</v>
      </c>
    </row>
    <row r="31" spans="1:3" x14ac:dyDescent="0.25">
      <c r="A31" s="11" t="s">
        <v>42</v>
      </c>
      <c r="B31" s="14">
        <v>0.032</v>
      </c>
      <c r="C31" s="52" t="s">
        <v>223</v>
      </c>
    </row>
    <row r="32" spans="1:3" x14ac:dyDescent="0.25">
      <c r="A32" s="11" t="s">
        <v>44</v>
      </c>
      <c r="B32" s="16">
        <v>10</v>
      </c>
      <c r="C32" s="52" t="s">
        <v>224</v>
      </c>
    </row>
    <row r="33" spans="1:3" x14ac:dyDescent="0.25">
      <c r="A33" s="11" t="s">
        <v>46</v>
      </c>
      <c r="B33" s="16">
        <v>0.85</v>
      </c>
      <c r="C33" s="52" t="s">
        <v>225</v>
      </c>
    </row>
    <row r="34" spans="1:3" x14ac:dyDescent="0.25">
      <c r="A34" s="11" t="s">
        <v>48</v>
      </c>
      <c r="B34" s="14">
        <v>0.24</v>
      </c>
      <c r="C34" s="52" t="s">
        <v>226</v>
      </c>
    </row>
    <row r="35" spans="1:3" x14ac:dyDescent="0.25">
      <c r="A35" s="11" t="s">
        <v>50</v>
      </c>
      <c r="B35" s="14">
        <v>0.36</v>
      </c>
      <c r="C35" s="52" t="s">
        <v>227</v>
      </c>
    </row>
    <row r="36" spans="1:3" x14ac:dyDescent="0.25">
      <c r="A36" s="11" t="s">
        <v>52</v>
      </c>
      <c r="B36" s="16">
        <v>6</v>
      </c>
      <c r="C36" s="52" t="s">
        <v>228</v>
      </c>
    </row>
    <row r="37" spans="1:3" x14ac:dyDescent="0.25">
      <c r="A37" s="11" t="s">
        <v>54</v>
      </c>
      <c r="B37" s="14">
        <v>0.13</v>
      </c>
      <c r="C37" s="52" t="s">
        <v>229</v>
      </c>
    </row>
    <row r="38" spans="1:3" x14ac:dyDescent="0.25">
      <c r="A38" s="11" t="s">
        <v>56</v>
      </c>
      <c r="B38" s="35" t="s">
        <v>230</v>
      </c>
      <c r="C38" s="52" t="s">
        <v>231</v>
      </c>
    </row>
    <row r="39" spans="1:3" x14ac:dyDescent="0.25">
      <c r="A39" s="11" t="s">
        <v>59</v>
      </c>
      <c r="B39" s="14">
        <v>0.45</v>
      </c>
      <c r="C39" s="52" t="s">
        <v>232</v>
      </c>
    </row>
  </sheetData>
  <pageMargins left="0.7" right="0.7" top="0.75" bottom="0.75" header="0.3" footer="0.3"/>
  <pageSetup orientation="portrait" horizontalDpi="4294967295" verticalDpi="4294967295" scale="100" fitToWidth="1" fitToHeight="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workbookViewId="0" showGridLines="0"/>
  </sheetViews>
  <sheetFormatPr defaultRowHeight="15" outlineLevelRow="0" outlineLevelCol="0" x14ac:dyDescent="55"/>
  <cols>
    <col min="1" max="1" width="25" style="6" customWidth="1"/>
    <col min="2" max="8" width="15" style="7" customWidth="1"/>
  </cols>
  <sheetData>
    <row r="1" spans="1:8" s="8" customFormat="1" x14ac:dyDescent="0.25">
      <c r="A1" s="9" t="s">
        <v>233</v>
      </c>
      <c r="B1" s="10"/>
      <c r="C1" s="10"/>
      <c r="D1" s="10"/>
      <c r="E1" s="10"/>
      <c r="F1" s="10"/>
      <c r="G1" s="10"/>
      <c r="H1" s="10"/>
    </row>
    <row r="2" spans="1:8" x14ac:dyDescent="0.25">
      <c r="A2" s="11" t="s">
        <v>10</v>
      </c>
      <c r="B2" s="12"/>
      <c r="C2" s="12"/>
      <c r="D2" s="12"/>
      <c r="E2" s="12"/>
      <c r="F2" s="12"/>
      <c r="G2" s="12"/>
      <c r="H2" s="12"/>
    </row>
    <row r="4" spans="1:8" x14ac:dyDescent="0.25">
      <c r="A4" s="21" t="s">
        <v>234</v>
      </c>
      <c r="B4" s="58">
        <v>0.003</v>
      </c>
      <c r="C4" s="58">
        <v>0.008</v>
      </c>
      <c r="D4" s="58">
        <v>0.013</v>
      </c>
      <c r="E4" s="58">
        <v>0.018</v>
      </c>
      <c r="F4" s="58">
        <v>0.023</v>
      </c>
      <c r="G4" s="58">
        <v>0.028</v>
      </c>
      <c r="H4" s="58">
        <v>0.033</v>
      </c>
    </row>
    <row r="5" spans="1:8" x14ac:dyDescent="0.25">
      <c r="A5" s="59">
        <v>0.1309</v>
      </c>
      <c r="B5" s="60">
        <v>51.5507494535421</v>
      </c>
      <c r="C5" s="60">
        <v>52.2872028478313</v>
      </c>
      <c r="D5" s="60">
        <v>53.0664750976069</v>
      </c>
      <c r="E5" s="60">
        <v>53.8936447624924</v>
      </c>
      <c r="F5" s="60">
        <v>54.77471853669964</v>
      </c>
      <c r="G5" s="60">
        <v>55.716856547416</v>
      </c>
      <c r="H5" s="60">
        <v>56.72866669063699</v>
      </c>
    </row>
    <row r="6" spans="1:8" x14ac:dyDescent="0.25">
      <c r="A6" s="59">
        <v>0.1409</v>
      </c>
      <c r="B6" s="60">
        <v>46.40702215603833</v>
      </c>
      <c r="C6" s="60">
        <v>46.96392852323385</v>
      </c>
      <c r="D6" s="60">
        <v>47.54794213105173</v>
      </c>
      <c r="E6" s="60">
        <v>48.16186249443219</v>
      </c>
      <c r="F6" s="60">
        <v>48.80895305041077</v>
      </c>
      <c r="G6" s="60">
        <v>49.49304372457113</v>
      </c>
      <c r="H6" s="60">
        <v>50.21866201302219</v>
      </c>
    </row>
    <row r="7" spans="1:8" x14ac:dyDescent="0.25">
      <c r="A7" s="59">
        <v>0.1509</v>
      </c>
      <c r="B7" s="60">
        <v>42.05857415344175</v>
      </c>
      <c r="C7" s="60">
        <v>42.48379685649821</v>
      </c>
      <c r="D7" s="60">
        <v>42.92600989094323</v>
      </c>
      <c r="E7" s="60">
        <v>43.38670337154696</v>
      </c>
      <c r="F7" s="60">
        <v>43.86759123527583</v>
      </c>
      <c r="G7" s="60">
        <v>44.37065663535349</v>
      </c>
      <c r="H7" s="60">
        <v>44.89820888467479</v>
      </c>
    </row>
    <row r="8" spans="1:8" x14ac:dyDescent="0.25">
      <c r="A8" s="59">
        <v>0.1609</v>
      </c>
      <c r="B8" s="60">
        <v>38.34666931910672</v>
      </c>
      <c r="C8" s="60">
        <v>38.67393122937256</v>
      </c>
      <c r="D8" s="60">
        <v>39.01158580875725</v>
      </c>
      <c r="E8" s="60">
        <v>39.36036247152175</v>
      </c>
      <c r="F8" s="60">
        <v>39.7210886708403</v>
      </c>
      <c r="G8" s="60">
        <v>40.09470822729678</v>
      </c>
      <c r="H8" s="60">
        <v>40.48230395539284</v>
      </c>
    </row>
    <row r="9" spans="1:8" x14ac:dyDescent="0.25">
      <c r="A9" s="59">
        <v>0.1709</v>
      </c>
      <c r="B9" s="60">
        <v>35.1510499901817</v>
      </c>
      <c r="C9" s="60">
        <v>35.40454366438159</v>
      </c>
      <c r="D9" s="60">
        <v>35.66409221288315</v>
      </c>
      <c r="E9" s="60">
        <v>35.92998223615633</v>
      </c>
      <c r="F9" s="60">
        <v>36.20253251537335</v>
      </c>
      <c r="G9" s="60">
        <v>36.48209954608843</v>
      </c>
      <c r="H9" s="60">
        <v>36.76908427484543</v>
      </c>
    </row>
    <row r="10" spans="1:8" x14ac:dyDescent="0.25">
      <c r="A10" s="59">
        <v>0.1809</v>
      </c>
      <c r="B10" s="60">
        <v>32.37905901518518</v>
      </c>
      <c r="C10" s="60">
        <v>32.57641371580655</v>
      </c>
      <c r="D10" s="60">
        <v>32.77696136140064</v>
      </c>
      <c r="E10" s="60">
        <v>32.98073321953945</v>
      </c>
      <c r="F10" s="60">
        <v>33.18775890945898</v>
      </c>
      <c r="G10" s="60">
        <v>33.39806605062222</v>
      </c>
      <c r="H10" s="60">
        <v>33.61167983921657</v>
      </c>
    </row>
    <row r="11" spans="1:8" x14ac:dyDescent="0.25">
      <c r="A11" s="59">
        <v>0.1909</v>
      </c>
      <c r="B11" s="60">
        <v>29.95824193326389</v>
      </c>
      <c r="C11" s="60">
        <v>30.1124811310927</v>
      </c>
      <c r="D11" s="60">
        <v>30.26802838659814</v>
      </c>
      <c r="E11" s="60">
        <v>30.42477158446562</v>
      </c>
      <c r="F11" s="60">
        <v>30.58258044699626</v>
      </c>
      <c r="G11" s="60">
        <v>30.74130367667108</v>
      </c>
      <c r="H11" s="60">
        <v>30.90076555515476</v>
      </c>
    </row>
    <row r="12" spans="1:8" x14ac:dyDescent="0.25">
      <c r="A12" s="59">
        <v>0.2009</v>
      </c>
      <c r="B12" s="60">
        <v>27.83119757327682</v>
      </c>
      <c r="C12" s="60">
        <v>27.95205877437044</v>
      </c>
      <c r="D12" s="60">
        <v>28.07299684863264</v>
      </c>
      <c r="E12" s="60">
        <v>28.19382359828358</v>
      </c>
      <c r="F12" s="60">
        <v>28.31432552947543</v>
      </c>
      <c r="G12" s="60">
        <v>28.43426013444938</v>
      </c>
      <c r="H12" s="60">
        <v>28.5533515088253</v>
      </c>
    </row>
    <row r="13" spans="1:8" x14ac:dyDescent="0.25">
      <c r="A13" s="59">
        <v>0.2109</v>
      </c>
      <c r="B13" s="60">
        <v>25.95191941291801</v>
      </c>
      <c r="C13" s="60">
        <v>26.04676125094403</v>
      </c>
      <c r="D13" s="60">
        <v>26.14088953955677</v>
      </c>
      <c r="E13" s="60">
        <v>26.23408046831663</v>
      </c>
      <c r="F13" s="60">
        <v>26.32608282801877</v>
      </c>
      <c r="G13" s="60">
        <v>26.41661421367481</v>
      </c>
      <c r="H13" s="60">
        <v>26.50535658669597</v>
      </c>
    </row>
    <row r="14" spans="1:8" x14ac:dyDescent="0.25">
      <c r="A14" s="59">
        <v>0.2209</v>
      </c>
      <c r="B14" s="60">
        <v>24.283148279443</v>
      </c>
      <c r="C14" s="60">
        <v>24.35758464057544</v>
      </c>
      <c r="D14" s="60">
        <v>24.43081565721135</v>
      </c>
      <c r="E14" s="60">
        <v>24.50260604910678</v>
      </c>
      <c r="F14" s="60">
        <v>24.57269365635044</v>
      </c>
      <c r="G14" s="60">
        <v>24.64078591072207</v>
      </c>
      <c r="H14" s="60">
        <v>24.70655574324438</v>
      </c>
    </row>
    <row r="15" spans="1:8" x14ac:dyDescent="0.25">
      <c r="A15" s="59">
        <v>0.2309</v>
      </c>
      <c r="B15" s="60">
        <v>22.79442532530342</v>
      </c>
      <c r="C15" s="60">
        <v>22.85277543906001</v>
      </c>
      <c r="D15" s="60">
        <v>22.90963109351754</v>
      </c>
      <c r="E15" s="60">
        <v>22.96475965909646</v>
      </c>
      <c r="F15" s="60">
        <v>23.01790342791827</v>
      </c>
      <c r="G15" s="60">
        <v>23.06877648469993</v>
      </c>
      <c r="H15" s="60">
        <v>23.11706110293235</v>
      </c>
    </row>
    <row r="17" spans="1:8" s="61" customFormat="1" x14ac:dyDescent="0.25">
      <c r="A17" s="62" t="s">
        <v>235</v>
      </c>
      <c r="B17" s="63"/>
      <c r="C17" s="63"/>
      <c r="D17" s="63"/>
      <c r="E17" s="63"/>
      <c r="F17" s="63"/>
      <c r="G17" s="63"/>
      <c r="H17" s="63"/>
    </row>
  </sheetData>
  <pageMargins left="0.7" right="0.7" top="0.75" bottom="0.75" header="0.3" footer="0.3"/>
  <pageSetup orientation="portrait" horizontalDpi="4294967295" verticalDpi="4294967295" scale="100" fitToWidth="1" fitToHeight="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workbookViewId="0" showGridLines="0"/>
  </sheetViews>
  <sheetFormatPr defaultRowHeight="15" outlineLevelRow="0" outlineLevelCol="0" x14ac:dyDescent="55"/>
  <cols>
    <col min="1" max="1" width="25" style="6" customWidth="1"/>
    <col min="2" max="4" width="15" style="64" customWidth="1"/>
  </cols>
  <sheetData>
    <row r="1" spans="1:4" s="8" customFormat="1" x14ac:dyDescent="0.25">
      <c r="A1" s="9" t="s">
        <v>236</v>
      </c>
      <c r="B1" s="65"/>
      <c r="C1" s="65"/>
      <c r="D1" s="65"/>
    </row>
    <row r="2" spans="1:4" x14ac:dyDescent="0.25">
      <c r="A2" s="11" t="s">
        <v>10</v>
      </c>
      <c r="B2" s="66"/>
      <c r="C2" s="66"/>
      <c r="D2" s="66"/>
    </row>
    <row r="4" spans="1:4" x14ac:dyDescent="0.25">
      <c r="A4" s="11" t="s">
        <v>20</v>
      </c>
      <c r="B4" s="14">
        <v>0.06823837876319885</v>
      </c>
      <c r="C4" s="66" t="s">
        <v>62</v>
      </c>
      <c r="D4" s="66" t="s">
        <v>62</v>
      </c>
    </row>
    <row r="6" spans="1:4" s="32" customFormat="1" x14ac:dyDescent="0.25">
      <c r="A6" s="21" t="s">
        <v>237</v>
      </c>
      <c r="B6" s="67" t="s">
        <v>238</v>
      </c>
      <c r="C6" s="67" t="s">
        <v>239</v>
      </c>
      <c r="D6" s="67" t="s">
        <v>240</v>
      </c>
    </row>
    <row r="7" spans="1:4" x14ac:dyDescent="0.25">
      <c r="A7" s="11" t="s">
        <v>40</v>
      </c>
      <c r="B7" s="14">
        <v>0.25</v>
      </c>
      <c r="C7" s="14">
        <v>0.3242326296964075</v>
      </c>
      <c r="D7" s="14">
        <v>0.07423262969640748</v>
      </c>
    </row>
    <row r="8" spans="1:4" x14ac:dyDescent="0.25">
      <c r="A8" s="11" t="s">
        <v>48</v>
      </c>
      <c r="B8" s="14">
        <v>0.32</v>
      </c>
      <c r="C8" s="14">
        <v>0.4150177660114033</v>
      </c>
      <c r="D8" s="14">
        <v>0.09501776601140327</v>
      </c>
    </row>
    <row r="9" spans="1:4" x14ac:dyDescent="0.25">
      <c r="A9" s="11" t="s">
        <v>44</v>
      </c>
      <c r="B9" s="68">
        <v>12</v>
      </c>
      <c r="C9" s="68">
        <v>15.56316622542764</v>
      </c>
      <c r="D9" s="68">
        <v>3.56316622542764</v>
      </c>
    </row>
    <row r="11" spans="1:4" s="17" customFormat="1" x14ac:dyDescent="0.25">
      <c r="A11" s="18" t="s">
        <v>241</v>
      </c>
      <c r="B11" s="69"/>
      <c r="C11" s="69"/>
      <c r="D11" s="69"/>
    </row>
    <row r="12" spans="1:4" s="32" customFormat="1" x14ac:dyDescent="0.25">
      <c r="A12" s="21" t="s">
        <v>242</v>
      </c>
      <c r="B12" s="67" t="s">
        <v>243</v>
      </c>
      <c r="C12" s="70"/>
      <c r="D12" s="70"/>
    </row>
    <row r="13" spans="1:4" x14ac:dyDescent="0.25">
      <c r="A13" s="11" t="s">
        <v>244</v>
      </c>
      <c r="B13" s="71">
        <v>14.9272151906301</v>
      </c>
      <c r="C13" s="66"/>
      <c r="D13" s="66"/>
    </row>
    <row r="14" spans="1:4" x14ac:dyDescent="0.25">
      <c r="A14" s="11" t="s">
        <v>245</v>
      </c>
      <c r="B14" s="71">
        <v>33.38778437775552</v>
      </c>
      <c r="C14" s="66"/>
      <c r="D14" s="66"/>
    </row>
    <row r="15" spans="1:4" x14ac:dyDescent="0.25">
      <c r="A15" s="11" t="s">
        <v>150</v>
      </c>
      <c r="B15" s="72">
        <v>38.13140365195813</v>
      </c>
      <c r="C15" s="66"/>
      <c r="D15" s="66"/>
    </row>
    <row r="16" spans="1:4" x14ac:dyDescent="0.25">
      <c r="A16" s="11" t="s">
        <v>246</v>
      </c>
      <c r="B16" s="72">
        <v>41.90829171732205</v>
      </c>
      <c r="C16" s="66"/>
      <c r="D16" s="66"/>
    </row>
    <row r="17" spans="1:4" x14ac:dyDescent="0.25">
      <c r="A17" s="11" t="s">
        <v>247</v>
      </c>
      <c r="B17" s="72">
        <v>45.36163086930744</v>
      </c>
      <c r="C17" s="66"/>
      <c r="D17" s="66"/>
    </row>
    <row r="18" spans="1:4" x14ac:dyDescent="0.25">
      <c r="A18" s="11" t="s">
        <v>151</v>
      </c>
      <c r="B18" s="73">
        <v>48.79554339870282</v>
      </c>
      <c r="C18" s="66"/>
      <c r="D18" s="66"/>
    </row>
    <row r="19" spans="1:4" x14ac:dyDescent="0.25">
      <c r="A19" s="11" t="s">
        <v>248</v>
      </c>
      <c r="B19" s="73">
        <v>52.0938445552593</v>
      </c>
      <c r="C19" s="66"/>
      <c r="D19" s="66"/>
    </row>
    <row r="20" spans="1:4" x14ac:dyDescent="0.25">
      <c r="A20" s="11" t="s">
        <v>249</v>
      </c>
      <c r="B20" s="73">
        <v>55.34570559415623</v>
      </c>
      <c r="C20" s="66"/>
      <c r="D20" s="66"/>
    </row>
    <row r="21" spans="1:4" x14ac:dyDescent="0.25">
      <c r="A21" s="11" t="s">
        <v>250</v>
      </c>
      <c r="B21" s="73">
        <v>58.55198586012916</v>
      </c>
      <c r="C21" s="66"/>
      <c r="D21" s="66"/>
    </row>
    <row r="22" spans="1:4" x14ac:dyDescent="0.25">
      <c r="A22" s="11" t="s">
        <v>251</v>
      </c>
      <c r="B22" s="73">
        <v>61.92264990007343</v>
      </c>
      <c r="C22" s="66"/>
      <c r="D22" s="66"/>
    </row>
    <row r="23" spans="1:4" x14ac:dyDescent="0.25">
      <c r="A23" s="11" t="s">
        <v>152</v>
      </c>
      <c r="B23" s="73">
        <v>65.047342309924</v>
      </c>
      <c r="C23" s="66"/>
      <c r="D23" s="66"/>
    </row>
    <row r="24" spans="1:4" x14ac:dyDescent="0.25">
      <c r="A24" s="11" t="s">
        <v>252</v>
      </c>
      <c r="B24" s="73">
        <v>69.02791710663666</v>
      </c>
      <c r="C24" s="66"/>
      <c r="D24" s="66"/>
    </row>
    <row r="25" spans="1:4" x14ac:dyDescent="0.25">
      <c r="A25" s="11" t="s">
        <v>253</v>
      </c>
      <c r="B25" s="73">
        <v>72.84444806365127</v>
      </c>
      <c r="C25" s="66"/>
      <c r="D25" s="66"/>
    </row>
    <row r="26" spans="1:4" x14ac:dyDescent="0.25">
      <c r="A26" s="11" t="s">
        <v>254</v>
      </c>
      <c r="B26" s="73">
        <v>77.17465694265717</v>
      </c>
      <c r="C26" s="66"/>
      <c r="D26" s="66"/>
    </row>
    <row r="27" spans="1:4" x14ac:dyDescent="0.25">
      <c r="A27" s="11" t="s">
        <v>255</v>
      </c>
      <c r="B27" s="73">
        <v>82.08066611939556</v>
      </c>
      <c r="C27" s="66"/>
      <c r="D27" s="66"/>
    </row>
    <row r="28" spans="1:4" x14ac:dyDescent="0.25">
      <c r="A28" s="11" t="s">
        <v>153</v>
      </c>
      <c r="B28" s="74">
        <v>87.90642896256666</v>
      </c>
      <c r="C28" s="66"/>
      <c r="D28" s="66"/>
    </row>
    <row r="29" spans="1:4" x14ac:dyDescent="0.25">
      <c r="A29" s="11" t="s">
        <v>256</v>
      </c>
      <c r="B29" s="74">
        <v>95.01881072650154</v>
      </c>
      <c r="C29" s="66"/>
      <c r="D29" s="66"/>
    </row>
    <row r="30" spans="1:4" x14ac:dyDescent="0.25">
      <c r="A30" s="11" t="s">
        <v>257</v>
      </c>
      <c r="B30" s="74">
        <v>104.08853661822</v>
      </c>
      <c r="C30" s="66"/>
      <c r="D30" s="66"/>
    </row>
    <row r="31" spans="1:4" x14ac:dyDescent="0.25">
      <c r="A31" s="11" t="s">
        <v>154</v>
      </c>
      <c r="B31" s="75">
        <v>116.4858409249178</v>
      </c>
      <c r="C31" s="66"/>
      <c r="D31" s="66"/>
    </row>
    <row r="32" spans="1:4" x14ac:dyDescent="0.25">
      <c r="A32" s="11" t="s">
        <v>258</v>
      </c>
      <c r="B32" s="75">
        <v>137.5347121890132</v>
      </c>
      <c r="C32" s="66"/>
      <c r="D32" s="66"/>
    </row>
    <row r="33" spans="1:4" x14ac:dyDescent="0.25">
      <c r="A33" s="11" t="s">
        <v>259</v>
      </c>
      <c r="B33" s="75">
        <v>326.410299431084</v>
      </c>
      <c r="C33" s="66"/>
      <c r="D33" s="66"/>
    </row>
    <row r="34" spans="1:4" x14ac:dyDescent="0.25">
      <c r="A34" s="76" t="s">
        <v>260</v>
      </c>
      <c r="B34" s="66"/>
      <c r="C34" s="66"/>
      <c r="D34" s="66"/>
    </row>
  </sheetData>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workbookViewId="0" showGridLines="0"/>
  </sheetViews>
  <sheetFormatPr defaultRowHeight="15" outlineLevelRow="0" outlineLevelCol="0" x14ac:dyDescent="55"/>
  <cols>
    <col min="1" max="1" width="30" style="6" customWidth="1"/>
    <col min="2" max="2" width="50" style="7" customWidth="1"/>
  </cols>
  <sheetData>
    <row r="1" spans="1:2" s="8" customFormat="1" x14ac:dyDescent="0.25">
      <c r="A1" s="9" t="s">
        <v>9</v>
      </c>
      <c r="B1" s="10"/>
    </row>
    <row r="2" spans="1:2" x14ac:dyDescent="0.25">
      <c r="A2" s="11" t="s">
        <v>10</v>
      </c>
      <c r="B2" s="12"/>
    </row>
    <row r="4" spans="1:2" x14ac:dyDescent="0.25">
      <c r="A4" s="11" t="s">
        <v>11</v>
      </c>
      <c r="B4" s="12" t="s">
        <v>12</v>
      </c>
    </row>
    <row r="5" spans="1:2" x14ac:dyDescent="0.25">
      <c r="A5" s="11" t="s">
        <v>13</v>
      </c>
      <c r="B5" s="12" t="s">
        <v>14</v>
      </c>
    </row>
    <row r="6" spans="1:2" x14ac:dyDescent="0.25">
      <c r="A6" s="11" t="s">
        <v>15</v>
      </c>
      <c r="B6" s="12" t="s">
        <v>16</v>
      </c>
    </row>
    <row r="7" spans="1:2" x14ac:dyDescent="0.25">
      <c r="A7" s="11" t="s">
        <v>17</v>
      </c>
      <c r="B7" s="13">
        <v>189.82</v>
      </c>
    </row>
    <row r="8" spans="1:2" x14ac:dyDescent="0.25">
      <c r="A8" s="11" t="s">
        <v>18</v>
      </c>
      <c r="B8" s="13">
        <v>68.42502135676827</v>
      </c>
    </row>
    <row r="9" spans="1:2" x14ac:dyDescent="0.25">
      <c r="A9" s="11" t="s">
        <v>19</v>
      </c>
      <c r="B9" s="14">
        <v>-0.639526807729595</v>
      </c>
    </row>
    <row r="10" spans="1:2" x14ac:dyDescent="0.25">
      <c r="A10" s="11" t="s">
        <v>20</v>
      </c>
      <c r="B10" s="14">
        <v>0.06823837876319885</v>
      </c>
    </row>
    <row r="11" spans="1:2" x14ac:dyDescent="0.25">
      <c r="A11" s="11" t="s">
        <v>21</v>
      </c>
      <c r="B11" s="12" t="s">
        <v>22</v>
      </c>
    </row>
    <row r="12" spans="1:2" x14ac:dyDescent="0.25">
      <c r="A12" s="11" t="s">
        <v>23</v>
      </c>
      <c r="B12" s="15">
        <v>46075.304095694446</v>
      </c>
    </row>
    <row r="13" spans="1:2" x14ac:dyDescent="0.25">
      <c r="A13" s="11" t="s">
        <v>24</v>
      </c>
      <c r="B13" s="15">
        <v>45683</v>
      </c>
    </row>
    <row r="14" spans="1:2" x14ac:dyDescent="0.25">
      <c r="A14" s="11" t="s">
        <v>25</v>
      </c>
      <c r="B14" s="12" t="s">
        <v>26</v>
      </c>
    </row>
    <row r="15" spans="1:2" x14ac:dyDescent="0.25">
      <c r="A15" s="11" t="s">
        <v>27</v>
      </c>
      <c r="B15" s="12" t="s">
        <v>28</v>
      </c>
    </row>
    <row r="16" spans="1:2" x14ac:dyDescent="0.25">
      <c r="A16" s="11" t="s">
        <v>29</v>
      </c>
      <c r="B16" s="12" t="s">
        <v>30</v>
      </c>
    </row>
    <row r="17" spans="1:2" x14ac:dyDescent="0.25">
      <c r="A17" s="11" t="s">
        <v>31</v>
      </c>
      <c r="B17" s="12" t="s">
        <v>32</v>
      </c>
    </row>
    <row r="18" spans="1:2" x14ac:dyDescent="0.25">
      <c r="A18" s="11" t="s">
        <v>33</v>
      </c>
      <c r="B18" s="12" t="s">
        <v>34</v>
      </c>
    </row>
    <row r="19" spans="1:2" x14ac:dyDescent="0.25">
      <c r="A19" s="11" t="s">
        <v>35</v>
      </c>
      <c r="B19" s="16">
        <v>4621547.5373425195</v>
      </c>
    </row>
    <row r="20" spans="1:2" x14ac:dyDescent="0.25">
      <c r="A20" s="11" t="s">
        <v>36</v>
      </c>
      <c r="B20" s="16">
        <v>24346.999986</v>
      </c>
    </row>
  </sheetData>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workbookViewId="0" showGridLines="0"/>
  </sheetViews>
  <sheetFormatPr defaultRowHeight="15" outlineLevelRow="0" outlineLevelCol="0" x14ac:dyDescent="55"/>
  <cols>
    <col min="1" max="1" width="30" style="6" customWidth="1"/>
    <col min="2" max="2" width="15" style="7" customWidth="1"/>
    <col min="3" max="3" width="60" style="6" customWidth="1"/>
  </cols>
  <sheetData>
    <row r="1" spans="1:3" s="8" customFormat="1" x14ac:dyDescent="0.25">
      <c r="A1" s="9" t="s">
        <v>37</v>
      </c>
      <c r="B1" s="10"/>
      <c r="C1" s="9"/>
    </row>
    <row r="2" spans="1:3" x14ac:dyDescent="0.25">
      <c r="A2" s="11" t="s">
        <v>10</v>
      </c>
      <c r="B2" s="12"/>
      <c r="C2" s="11"/>
    </row>
    <row r="4" spans="1:3" s="17" customFormat="1" x14ac:dyDescent="0.25">
      <c r="A4" s="18" t="s">
        <v>38</v>
      </c>
      <c r="B4" s="18"/>
      <c r="C4" s="18"/>
    </row>
    <row r="5" spans="1:3" x14ac:dyDescent="0.25">
      <c r="A5" s="11" t="s">
        <v>39</v>
      </c>
      <c r="B5" s="11"/>
      <c r="C5" s="11"/>
    </row>
    <row r="7" spans="1:3" s="17" customFormat="1" x14ac:dyDescent="0.25">
      <c r="A7" s="18" t="s">
        <v>37</v>
      </c>
      <c r="B7" s="18"/>
      <c r="C7" s="18"/>
    </row>
    <row r="8" spans="1:3" x14ac:dyDescent="0.25">
      <c r="A8" s="11" t="s">
        <v>40</v>
      </c>
      <c r="B8" s="19">
        <v>0.25</v>
      </c>
      <c r="C8" s="11" t="s">
        <v>41</v>
      </c>
    </row>
    <row r="9" spans="1:3" x14ac:dyDescent="0.25">
      <c r="A9" s="11" t="s">
        <v>42</v>
      </c>
      <c r="B9" s="19">
        <v>0.033</v>
      </c>
      <c r="C9" s="11" t="s">
        <v>43</v>
      </c>
    </row>
    <row r="10" spans="1:3" x14ac:dyDescent="0.25">
      <c r="A10" s="11" t="s">
        <v>44</v>
      </c>
      <c r="B10" s="20">
        <v>12</v>
      </c>
      <c r="C10" s="11" t="s">
        <v>45</v>
      </c>
    </row>
    <row r="11" spans="1:3" x14ac:dyDescent="0.25">
      <c r="A11" s="11" t="s">
        <v>46</v>
      </c>
      <c r="B11" s="20">
        <v>1.05</v>
      </c>
      <c r="C11" s="11" t="s">
        <v>47</v>
      </c>
    </row>
    <row r="12" spans="1:3" x14ac:dyDescent="0.25">
      <c r="A12" s="11" t="s">
        <v>48</v>
      </c>
      <c r="B12" s="19">
        <v>0.32</v>
      </c>
      <c r="C12" s="11" t="s">
        <v>49</v>
      </c>
    </row>
    <row r="13" spans="1:3" x14ac:dyDescent="0.25">
      <c r="A13" s="11" t="s">
        <v>50</v>
      </c>
      <c r="B13" s="19">
        <v>0.48</v>
      </c>
      <c r="C13" s="11" t="s">
        <v>51</v>
      </c>
    </row>
    <row r="14" spans="1:3" x14ac:dyDescent="0.25">
      <c r="A14" s="11" t="s">
        <v>52</v>
      </c>
      <c r="B14" s="20">
        <v>8</v>
      </c>
      <c r="C14" s="11" t="s">
        <v>53</v>
      </c>
    </row>
    <row r="15" spans="1:3" x14ac:dyDescent="0.25">
      <c r="A15" s="11" t="s">
        <v>54</v>
      </c>
      <c r="B15" s="19">
        <v>0.18</v>
      </c>
      <c r="C15" s="11" t="s">
        <v>55</v>
      </c>
    </row>
    <row r="16" spans="1:3" x14ac:dyDescent="0.25">
      <c r="A16" s="11" t="s">
        <v>56</v>
      </c>
      <c r="B16" s="12" t="s">
        <v>57</v>
      </c>
      <c r="C16" s="11" t="s">
        <v>58</v>
      </c>
    </row>
    <row r="17" spans="1:3" x14ac:dyDescent="0.25">
      <c r="A17" s="11" t="s">
        <v>59</v>
      </c>
      <c r="B17" s="19">
        <v>0.55</v>
      </c>
      <c r="C17" s="11" t="s">
        <v>60</v>
      </c>
    </row>
  </sheetData>
  <mergeCells count="3">
    <mergeCell ref="A4:C4"/>
    <mergeCell ref="A5:C5"/>
    <mergeCell ref="A7:C7"/>
  </mergeCells>
  <pageMargins left="0.7" right="0.7" top="0.75" bottom="0.75" header="0.3" footer="0.3"/>
  <pageSetup orientation="portrait" horizontalDpi="4294967295" verticalDpi="4294967295" scale="100" fitToWidth="1" fitToHeigh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
  <sheetViews>
    <sheetView workbookViewId="0" showGridLines="0"/>
  </sheetViews>
  <sheetFormatPr defaultRowHeight="15" outlineLevelRow="0" outlineLevelCol="0" x14ac:dyDescent="55"/>
  <cols>
    <col min="1" max="1" width="30" style="6" customWidth="1"/>
    <col min="2" max="23" width="15" style="7" customWidth="1"/>
  </cols>
  <sheetData>
    <row r="1" spans="1:23" s="8" customFormat="1" x14ac:dyDescent="0.25">
      <c r="A1" s="9" t="s">
        <v>61</v>
      </c>
      <c r="B1" s="10"/>
      <c r="C1" s="10"/>
      <c r="D1" s="10"/>
      <c r="E1" s="10"/>
      <c r="F1" s="10"/>
      <c r="G1" s="10"/>
      <c r="H1" s="10"/>
      <c r="I1" s="10"/>
      <c r="J1" s="10"/>
      <c r="K1" s="10"/>
      <c r="L1" s="10"/>
      <c r="M1" s="10"/>
      <c r="N1" s="10"/>
      <c r="O1" s="10"/>
      <c r="P1" s="10"/>
      <c r="Q1" s="10"/>
      <c r="R1" s="10"/>
      <c r="S1" s="10"/>
      <c r="T1" s="10"/>
      <c r="U1" s="10"/>
      <c r="V1" s="10"/>
      <c r="W1" s="10"/>
    </row>
    <row r="2" spans="1:23" x14ac:dyDescent="0.25">
      <c r="A2" s="11" t="s">
        <v>10</v>
      </c>
      <c r="B2" s="12"/>
      <c r="C2" s="12"/>
      <c r="D2" s="12"/>
      <c r="E2" s="12"/>
      <c r="F2" s="12"/>
      <c r="G2" s="12"/>
      <c r="H2" s="12"/>
      <c r="I2" s="12"/>
      <c r="J2" s="12"/>
      <c r="K2" s="12"/>
      <c r="L2" s="12"/>
      <c r="M2" s="12"/>
      <c r="N2" s="12"/>
      <c r="O2" s="12"/>
      <c r="P2" s="12"/>
      <c r="Q2" s="12"/>
      <c r="R2" s="12"/>
      <c r="S2" s="12"/>
      <c r="T2" s="12"/>
      <c r="U2" s="12"/>
      <c r="V2" s="12"/>
      <c r="W2" s="12"/>
    </row>
    <row r="4" spans="1:23" x14ac:dyDescent="0.25">
      <c r="A4" s="21" t="s">
        <v>62</v>
      </c>
      <c r="B4" s="22" t="s">
        <v>63</v>
      </c>
      <c r="C4" s="23">
        <f>=IF(1&lt;=INDEX(Assumptions!B:B,MATCH("Years to stability",Assumptions!A:A,0)),"FY+1",IF(1=INDEX(Assumptions!B:B,MATCH("Years to stability",Assumptions!A:A,0))+1,"Stability",""))</f>
      </c>
      <c r="D4" s="23">
        <f>=IF(2&lt;=INDEX(Assumptions!B:B,MATCH("Years to stability",Assumptions!A:A,0)),"FY+2",IF(2=INDEX(Assumptions!B:B,MATCH("Years to stability",Assumptions!A:A,0))+1,"Stability",""))</f>
      </c>
      <c r="E4" s="23">
        <f>=IF(3&lt;=INDEX(Assumptions!B:B,MATCH("Years to stability",Assumptions!A:A,0)),"FY+3",IF(3=INDEX(Assumptions!B:B,MATCH("Years to stability",Assumptions!A:A,0))+1,"Stability",""))</f>
      </c>
      <c r="F4" s="23">
        <f>=IF(4&lt;=INDEX(Assumptions!B:B,MATCH("Years to stability",Assumptions!A:A,0)),"FY+4",IF(4=INDEX(Assumptions!B:B,MATCH("Years to stability",Assumptions!A:A,0))+1,"Stability",""))</f>
      </c>
      <c r="G4" s="23">
        <f>=IF(5&lt;=INDEX(Assumptions!B:B,MATCH("Years to stability",Assumptions!A:A,0)),"FY+5",IF(5=INDEX(Assumptions!B:B,MATCH("Years to stability",Assumptions!A:A,0))+1,"Stability",""))</f>
      </c>
      <c r="H4" s="23">
        <f>=IF(6&lt;=INDEX(Assumptions!B:B,MATCH("Years to stability",Assumptions!A:A,0)),"FY+6",IF(6=INDEX(Assumptions!B:B,MATCH("Years to stability",Assumptions!A:A,0))+1,"Stability",""))</f>
      </c>
      <c r="I4" s="23">
        <f>=IF(7&lt;=INDEX(Assumptions!B:B,MATCH("Years to stability",Assumptions!A:A,0)),"FY+7",IF(7=INDEX(Assumptions!B:B,MATCH("Years to stability",Assumptions!A:A,0))+1,"Stability",""))</f>
      </c>
      <c r="J4" s="23">
        <f>=IF(8&lt;=INDEX(Assumptions!B:B,MATCH("Years to stability",Assumptions!A:A,0)),"FY+8",IF(8=INDEX(Assumptions!B:B,MATCH("Years to stability",Assumptions!A:A,0))+1,"Stability",""))</f>
      </c>
      <c r="K4" s="23">
        <f>=IF(9&lt;=INDEX(Assumptions!B:B,MATCH("Years to stability",Assumptions!A:A,0)),"FY+9",IF(9=INDEX(Assumptions!B:B,MATCH("Years to stability",Assumptions!A:A,0))+1,"Stability",""))</f>
      </c>
      <c r="L4" s="23">
        <f>=IF(10&lt;=INDEX(Assumptions!B:B,MATCH("Years to stability",Assumptions!A:A,0)),"FY+10",IF(10=INDEX(Assumptions!B:B,MATCH("Years to stability",Assumptions!A:A,0))+1,"Stability",""))</f>
      </c>
      <c r="M4" s="23">
        <f>=IF(11&lt;=INDEX(Assumptions!B:B,MATCH("Years to stability",Assumptions!A:A,0)),"FY+11",IF(11=INDEX(Assumptions!B:B,MATCH("Years to stability",Assumptions!A:A,0))+1,"Stability",""))</f>
      </c>
      <c r="N4" s="23">
        <f>=IF(12&lt;=INDEX(Assumptions!B:B,MATCH("Years to stability",Assumptions!A:A,0)),"FY+12",IF(12=INDEX(Assumptions!B:B,MATCH("Years to stability",Assumptions!A:A,0))+1,"Stability",""))</f>
      </c>
      <c r="O4" s="23">
        <f>=IF(13&lt;=INDEX(Assumptions!B:B,MATCH("Years to stability",Assumptions!A:A,0)),"FY+13",IF(13=INDEX(Assumptions!B:B,MATCH("Years to stability",Assumptions!A:A,0))+1,"Stability",""))</f>
      </c>
      <c r="P4" s="23">
        <f>=IF(14&lt;=INDEX(Assumptions!B:B,MATCH("Years to stability",Assumptions!A:A,0)),"FY+14",IF(14=INDEX(Assumptions!B:B,MATCH("Years to stability",Assumptions!A:A,0))+1,"Stability",""))</f>
      </c>
      <c r="Q4" s="23">
        <f>=IF(15&lt;=INDEX(Assumptions!B:B,MATCH("Years to stability",Assumptions!A:A,0)),"FY+15",IF(15=INDEX(Assumptions!B:B,MATCH("Years to stability",Assumptions!A:A,0))+1,"Stability",""))</f>
      </c>
      <c r="R4" s="23">
        <f>=IF(16&lt;=INDEX(Assumptions!B:B,MATCH("Years to stability",Assumptions!A:A,0)),"FY+16",IF(16=INDEX(Assumptions!B:B,MATCH("Years to stability",Assumptions!A:A,0))+1,"Stability",""))</f>
      </c>
      <c r="S4" s="23">
        <f>=IF(17&lt;=INDEX(Assumptions!B:B,MATCH("Years to stability",Assumptions!A:A,0)),"FY+17",IF(17=INDEX(Assumptions!B:B,MATCH("Years to stability",Assumptions!A:A,0))+1,"Stability",""))</f>
      </c>
      <c r="T4" s="23">
        <f>=IF(18&lt;=INDEX(Assumptions!B:B,MATCH("Years to stability",Assumptions!A:A,0)),"FY+18",IF(18=INDEX(Assumptions!B:B,MATCH("Years to stability",Assumptions!A:A,0))+1,"Stability",""))</f>
      </c>
      <c r="U4" s="23">
        <f>=IF(19&lt;=INDEX(Assumptions!B:B,MATCH("Years to stability",Assumptions!A:A,0)),"FY+19",IF(19=INDEX(Assumptions!B:B,MATCH("Years to stability",Assumptions!A:A,0))+1,"Stability",""))</f>
      </c>
      <c r="V4" s="23">
        <f>=IF(20&lt;=INDEX(Assumptions!B:B,MATCH("Years to stability",Assumptions!A:A,0)),"FY+20",IF(20=INDEX(Assumptions!B:B,MATCH("Years to stability",Assumptions!A:A,0))+1,"Stability",""))</f>
      </c>
      <c r="W4" s="23">
        <f>=IF(21&lt;=INDEX(Assumptions!B:B,MATCH("Years to stability",Assumptions!A:A,0)),"FY+21",IF(21=INDEX(Assumptions!B:B,MATCH("Years to stability",Assumptions!A:A,0))+1,"Stability",""))</f>
      </c>
    </row>
    <row r="5" spans="1:23" x14ac:dyDescent="0.25">
      <c r="A5" s="11" t="s">
        <v>64</v>
      </c>
      <c r="B5" s="24">
        <f>=INDEX(Financials!B:B,MATCH("Revenue",Financials!A:A,0))</f>
      </c>
      <c r="C5" s="24">
        <f>=IF(1&lt;=INDEX(Assumptions!B:B,MATCH("Years to stability",Assumptions!A:A,0))+1,B5*(1+C6),"")</f>
      </c>
      <c r="D5" s="24">
        <f>=IF(2&lt;=INDEX(Assumptions!B:B,MATCH("Years to stability",Assumptions!A:A,0))+1,C5*(1+D6),"")</f>
      </c>
      <c r="E5" s="24">
        <f>=IF(3&lt;=INDEX(Assumptions!B:B,MATCH("Years to stability",Assumptions!A:A,0))+1,D5*(1+E6),"")</f>
      </c>
      <c r="F5" s="24">
        <f>=IF(4&lt;=INDEX(Assumptions!B:B,MATCH("Years to stability",Assumptions!A:A,0))+1,E5*(1+F6),"")</f>
      </c>
      <c r="G5" s="24">
        <f>=IF(5&lt;=INDEX(Assumptions!B:B,MATCH("Years to stability",Assumptions!A:A,0))+1,F5*(1+G6),"")</f>
      </c>
      <c r="H5" s="24">
        <f>=IF(6&lt;=INDEX(Assumptions!B:B,MATCH("Years to stability",Assumptions!A:A,0))+1,G5*(1+H6),"")</f>
      </c>
      <c r="I5" s="24">
        <f>=IF(7&lt;=INDEX(Assumptions!B:B,MATCH("Years to stability",Assumptions!A:A,0))+1,H5*(1+I6),"")</f>
      </c>
      <c r="J5" s="24">
        <f>=IF(8&lt;=INDEX(Assumptions!B:B,MATCH("Years to stability",Assumptions!A:A,0))+1,I5*(1+J6),"")</f>
      </c>
      <c r="K5" s="24">
        <f>=IF(9&lt;=INDEX(Assumptions!B:B,MATCH("Years to stability",Assumptions!A:A,0))+1,J5*(1+K6),"")</f>
      </c>
      <c r="L5" s="24">
        <f>=IF(10&lt;=INDEX(Assumptions!B:B,MATCH("Years to stability",Assumptions!A:A,0))+1,K5*(1+L6),"")</f>
      </c>
      <c r="M5" s="24">
        <f>=IF(11&lt;=INDEX(Assumptions!B:B,MATCH("Years to stability",Assumptions!A:A,0))+1,L5*(1+M6),"")</f>
      </c>
      <c r="N5" s="24">
        <f>=IF(12&lt;=INDEX(Assumptions!B:B,MATCH("Years to stability",Assumptions!A:A,0))+1,M5*(1+N6),"")</f>
      </c>
      <c r="O5" s="24">
        <f>=IF(13&lt;=INDEX(Assumptions!B:B,MATCH("Years to stability",Assumptions!A:A,0))+1,N5*(1+O6),"")</f>
      </c>
      <c r="P5" s="24">
        <f>=IF(14&lt;=INDEX(Assumptions!B:B,MATCH("Years to stability",Assumptions!A:A,0))+1,O5*(1+P6),"")</f>
      </c>
      <c r="Q5" s="24">
        <f>=IF(15&lt;=INDEX(Assumptions!B:B,MATCH("Years to stability",Assumptions!A:A,0))+1,P5*(1+Q6),"")</f>
      </c>
      <c r="R5" s="24">
        <f>=IF(16&lt;=INDEX(Assumptions!B:B,MATCH("Years to stability",Assumptions!A:A,0))+1,Q5*(1+R6),"")</f>
      </c>
      <c r="S5" s="24">
        <f>=IF(17&lt;=INDEX(Assumptions!B:B,MATCH("Years to stability",Assumptions!A:A,0))+1,R5*(1+S6),"")</f>
      </c>
      <c r="T5" s="24">
        <f>=IF(18&lt;=INDEX(Assumptions!B:B,MATCH("Years to stability",Assumptions!A:A,0))+1,S5*(1+T6),"")</f>
      </c>
      <c r="U5" s="24">
        <f>=IF(19&lt;=INDEX(Assumptions!B:B,MATCH("Years to stability",Assumptions!A:A,0))+1,T5*(1+U6),"")</f>
      </c>
      <c r="V5" s="24">
        <f>=IF(20&lt;=INDEX(Assumptions!B:B,MATCH("Years to stability",Assumptions!A:A,0))+1,U5*(1+V6),"")</f>
      </c>
      <c r="W5" s="24">
        <f>=IF(21&lt;=INDEX(Assumptions!B:B,MATCH("Years to stability",Assumptions!A:A,0))+1,V5*(1+W6),"")</f>
      </c>
    </row>
    <row r="6" spans="1:23" x14ac:dyDescent="0.25">
      <c r="A6" s="11" t="s">
        <v>65</v>
      </c>
      <c r="B6" s="25">
        <f>=INDEX(Financials!B:B,MATCH("YoY Growth",Financials!A:A,0))</f>
      </c>
      <c r="C6" s="25">
        <f>=IF(1&gt;INDEX(Assumptions!B:B,MATCH("Years to stability",Assumptions!A:A,0))+1,"",IF(1=INDEX(Assumptions!B:B,MATCH("Years to stability",Assumptions!A:A,0))+1,INDEX(Assumptions!B:B,MATCH("Stable growth rate",Assumptions!A:A,0)),IF(INDEX(Assumptions!B:B,MATCH("Years to stability",Assumptions!A:A,0))=1,INDEX(Assumptions!B:B,MATCH("Revenue growth rate",Assumptions!A:A,0)),IF(1&lt;=INT(INDEX(Assumptions!B:B,MATCH("Years to stability",Assumptions!A:A,0))/2),INDEX(Assumptions!B:B,MATCH("Revenue growth rate",Assumptions!A:A,0)),INDEX(Assumptions!B:B,MATCH("Revenue growth rate",Assumptions!A:A,0))+(((1-INT(INDEX(Assumptions!B:B,MATCH("Years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D6" s="25">
        <f>=IF(2&gt;INDEX(Assumptions!B:B,MATCH("Years to stability",Assumptions!A:A,0))+1,"",IF(2=INDEX(Assumptions!B:B,MATCH("Years to stability",Assumptions!A:A,0))+1,INDEX(Assumptions!B:B,MATCH("Stable growth rate",Assumptions!A:A,0)),IF(INDEX(Assumptions!B:B,MATCH("Years to stability",Assumptions!A:A,0))=1,INDEX(Assumptions!B:B,MATCH("Revenue growth rate",Assumptions!A:A,0)),IF(2&lt;=INT(INDEX(Assumptions!B:B,MATCH("Years to stability",Assumptions!A:A,0))/2),INDEX(Assumptions!B:B,MATCH("Revenue growth rate",Assumptions!A:A,0)),INDEX(Assumptions!B:B,MATCH("Revenue growth rate",Assumptions!A:A,0))+(((2-INT(INDEX(Assumptions!B:B,MATCH("Years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E6" s="25">
        <f>=IF(3&gt;INDEX(Assumptions!B:B,MATCH("Years to stability",Assumptions!A:A,0))+1,"",IF(3=INDEX(Assumptions!B:B,MATCH("Years to stability",Assumptions!A:A,0))+1,INDEX(Assumptions!B:B,MATCH("Stable growth rate",Assumptions!A:A,0)),IF(INDEX(Assumptions!B:B,MATCH("Years to stability",Assumptions!A:A,0))=1,INDEX(Assumptions!B:B,MATCH("Revenue growth rate",Assumptions!A:A,0)),IF(3&lt;=INT(INDEX(Assumptions!B:B,MATCH("Years to stability",Assumptions!A:A,0))/2),INDEX(Assumptions!B:B,MATCH("Revenue growth rate",Assumptions!A:A,0)),INDEX(Assumptions!B:B,MATCH("Revenue growth rate",Assumptions!A:A,0))+(((3-INT(INDEX(Assumptions!B:B,MATCH("Years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F6" s="25">
        <f>=IF(4&gt;INDEX(Assumptions!B:B,MATCH("Years to stability",Assumptions!A:A,0))+1,"",IF(4=INDEX(Assumptions!B:B,MATCH("Years to stability",Assumptions!A:A,0))+1,INDEX(Assumptions!B:B,MATCH("Stable growth rate",Assumptions!A:A,0)),IF(INDEX(Assumptions!B:B,MATCH("Years to stability",Assumptions!A:A,0))=1,INDEX(Assumptions!B:B,MATCH("Revenue growth rate",Assumptions!A:A,0)),IF(4&lt;=INT(INDEX(Assumptions!B:B,MATCH("Years to stability",Assumptions!A:A,0))/2),INDEX(Assumptions!B:B,MATCH("Revenue growth rate",Assumptions!A:A,0)),INDEX(Assumptions!B:B,MATCH("Revenue growth rate",Assumptions!A:A,0))+(((4-INT(INDEX(Assumptions!B:B,MATCH("Years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G6" s="25">
        <f>=IF(5&gt;INDEX(Assumptions!B:B,MATCH("Years to stability",Assumptions!A:A,0))+1,"",IF(5=INDEX(Assumptions!B:B,MATCH("Years to stability",Assumptions!A:A,0))+1,INDEX(Assumptions!B:B,MATCH("Stable growth rate",Assumptions!A:A,0)),IF(INDEX(Assumptions!B:B,MATCH("Years to stability",Assumptions!A:A,0))=1,INDEX(Assumptions!B:B,MATCH("Revenue growth rate",Assumptions!A:A,0)),IF(5&lt;=INT(INDEX(Assumptions!B:B,MATCH("Years to stability",Assumptions!A:A,0))/2),INDEX(Assumptions!B:B,MATCH("Revenue growth rate",Assumptions!A:A,0)),INDEX(Assumptions!B:B,MATCH("Revenue growth rate",Assumptions!A:A,0))+(((5-INT(INDEX(Assumptions!B:B,MATCH("Years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H6" s="25">
        <f>=IF(6&gt;INDEX(Assumptions!B:B,MATCH("Years to stability",Assumptions!A:A,0))+1,"",IF(6=INDEX(Assumptions!B:B,MATCH("Years to stability",Assumptions!A:A,0))+1,INDEX(Assumptions!B:B,MATCH("Stable growth rate",Assumptions!A:A,0)),IF(INDEX(Assumptions!B:B,MATCH("Years to stability",Assumptions!A:A,0))=1,INDEX(Assumptions!B:B,MATCH("Revenue growth rate",Assumptions!A:A,0)),IF(6&lt;=INT(INDEX(Assumptions!B:B,MATCH("Years to stability",Assumptions!A:A,0))/2),INDEX(Assumptions!B:B,MATCH("Revenue growth rate",Assumptions!A:A,0)),INDEX(Assumptions!B:B,MATCH("Revenue growth rate",Assumptions!A:A,0))+(((6-INT(INDEX(Assumptions!B:B,MATCH("Years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I6" s="25">
        <f>=IF(7&gt;INDEX(Assumptions!B:B,MATCH("Years to stability",Assumptions!A:A,0))+1,"",IF(7=INDEX(Assumptions!B:B,MATCH("Years to stability",Assumptions!A:A,0))+1,INDEX(Assumptions!B:B,MATCH("Stable growth rate",Assumptions!A:A,0)),IF(INDEX(Assumptions!B:B,MATCH("Years to stability",Assumptions!A:A,0))=1,INDEX(Assumptions!B:B,MATCH("Revenue growth rate",Assumptions!A:A,0)),IF(7&lt;=INT(INDEX(Assumptions!B:B,MATCH("Years to stability",Assumptions!A:A,0))/2),INDEX(Assumptions!B:B,MATCH("Revenue growth rate",Assumptions!A:A,0)),INDEX(Assumptions!B:B,MATCH("Revenue growth rate",Assumptions!A:A,0))+(((7-INT(INDEX(Assumptions!B:B,MATCH("Years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J6" s="25">
        <f>=IF(8&gt;INDEX(Assumptions!B:B,MATCH("Years to stability",Assumptions!A:A,0))+1,"",IF(8=INDEX(Assumptions!B:B,MATCH("Years to stability",Assumptions!A:A,0))+1,INDEX(Assumptions!B:B,MATCH("Stable growth rate",Assumptions!A:A,0)),IF(INDEX(Assumptions!B:B,MATCH("Years to stability",Assumptions!A:A,0))=1,INDEX(Assumptions!B:B,MATCH("Revenue growth rate",Assumptions!A:A,0)),IF(8&lt;=INT(INDEX(Assumptions!B:B,MATCH("Years to stability",Assumptions!A:A,0))/2),INDEX(Assumptions!B:B,MATCH("Revenue growth rate",Assumptions!A:A,0)),INDEX(Assumptions!B:B,MATCH("Revenue growth rate",Assumptions!A:A,0))+(((8-INT(INDEX(Assumptions!B:B,MATCH("Years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K6" s="25">
        <f>=IF(9&gt;INDEX(Assumptions!B:B,MATCH("Years to stability",Assumptions!A:A,0))+1,"",IF(9=INDEX(Assumptions!B:B,MATCH("Years to stability",Assumptions!A:A,0))+1,INDEX(Assumptions!B:B,MATCH("Stable growth rate",Assumptions!A:A,0)),IF(INDEX(Assumptions!B:B,MATCH("Years to stability",Assumptions!A:A,0))=1,INDEX(Assumptions!B:B,MATCH("Revenue growth rate",Assumptions!A:A,0)),IF(9&lt;=INT(INDEX(Assumptions!B:B,MATCH("Years to stability",Assumptions!A:A,0))/2),INDEX(Assumptions!B:B,MATCH("Revenue growth rate",Assumptions!A:A,0)),INDEX(Assumptions!B:B,MATCH("Revenue growth rate",Assumptions!A:A,0))+(((9-INT(INDEX(Assumptions!B:B,MATCH("Years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L6" s="25">
        <f>=IF(10&gt;INDEX(Assumptions!B:B,MATCH("Years to stability",Assumptions!A:A,0))+1,"",IF(10=INDEX(Assumptions!B:B,MATCH("Years to stability",Assumptions!A:A,0))+1,INDEX(Assumptions!B:B,MATCH("Stable growth rate",Assumptions!A:A,0)),IF(INDEX(Assumptions!B:B,MATCH("Years to stability",Assumptions!A:A,0))=1,INDEX(Assumptions!B:B,MATCH("Revenue growth rate",Assumptions!A:A,0)),IF(10&lt;=INT(INDEX(Assumptions!B:B,MATCH("Years to stability",Assumptions!A:A,0))/2),INDEX(Assumptions!B:B,MATCH("Revenue growth rate",Assumptions!A:A,0)),INDEX(Assumptions!B:B,MATCH("Revenue growth rate",Assumptions!A:A,0))+(((10-INT(INDEX(Assumptions!B:B,MATCH("Years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M6" s="25">
        <f>=IF(11&gt;INDEX(Assumptions!B:B,MATCH("Years to stability",Assumptions!A:A,0))+1,"",IF(11=INDEX(Assumptions!B:B,MATCH("Years to stability",Assumptions!A:A,0))+1,INDEX(Assumptions!B:B,MATCH("Stable growth rate",Assumptions!A:A,0)),IF(INDEX(Assumptions!B:B,MATCH("Years to stability",Assumptions!A:A,0))=1,INDEX(Assumptions!B:B,MATCH("Revenue growth rate",Assumptions!A:A,0)),IF(11&lt;=INT(INDEX(Assumptions!B:B,MATCH("Years to stability",Assumptions!A:A,0))/2),INDEX(Assumptions!B:B,MATCH("Revenue growth rate",Assumptions!A:A,0)),INDEX(Assumptions!B:B,MATCH("Revenue growth rate",Assumptions!A:A,0))+(((11-INT(INDEX(Assumptions!B:B,MATCH("Years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N6" s="25">
        <f>=IF(12&gt;INDEX(Assumptions!B:B,MATCH("Years to stability",Assumptions!A:A,0))+1,"",IF(12=INDEX(Assumptions!B:B,MATCH("Years to stability",Assumptions!A:A,0))+1,INDEX(Assumptions!B:B,MATCH("Stable growth rate",Assumptions!A:A,0)),IF(INDEX(Assumptions!B:B,MATCH("Years to stability",Assumptions!A:A,0))=1,INDEX(Assumptions!B:B,MATCH("Revenue growth rate",Assumptions!A:A,0)),IF(12&lt;=INT(INDEX(Assumptions!B:B,MATCH("Years to stability",Assumptions!A:A,0))/2),INDEX(Assumptions!B:B,MATCH("Revenue growth rate",Assumptions!A:A,0)),INDEX(Assumptions!B:B,MATCH("Revenue growth rate",Assumptions!A:A,0))+(((12-INT(INDEX(Assumptions!B:B,MATCH("Years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O6" s="25">
        <f>=IF(13&gt;INDEX(Assumptions!B:B,MATCH("Years to stability",Assumptions!A:A,0))+1,"",IF(13=INDEX(Assumptions!B:B,MATCH("Years to stability",Assumptions!A:A,0))+1,INDEX(Assumptions!B:B,MATCH("Stable growth rate",Assumptions!A:A,0)),IF(INDEX(Assumptions!B:B,MATCH("Years to stability",Assumptions!A:A,0))=1,INDEX(Assumptions!B:B,MATCH("Revenue growth rate",Assumptions!A:A,0)),IF(13&lt;=INT(INDEX(Assumptions!B:B,MATCH("Years to stability",Assumptions!A:A,0))/2),INDEX(Assumptions!B:B,MATCH("Revenue growth rate",Assumptions!A:A,0)),INDEX(Assumptions!B:B,MATCH("Revenue growth rate",Assumptions!A:A,0))+(((13-INT(INDEX(Assumptions!B:B,MATCH("Years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P6" s="25">
        <f>=IF(14&gt;INDEX(Assumptions!B:B,MATCH("Years to stability",Assumptions!A:A,0))+1,"",IF(14=INDEX(Assumptions!B:B,MATCH("Years to stability",Assumptions!A:A,0))+1,INDEX(Assumptions!B:B,MATCH("Stable growth rate",Assumptions!A:A,0)),IF(INDEX(Assumptions!B:B,MATCH("Years to stability",Assumptions!A:A,0))=1,INDEX(Assumptions!B:B,MATCH("Revenue growth rate",Assumptions!A:A,0)),IF(14&lt;=INT(INDEX(Assumptions!B:B,MATCH("Years to stability",Assumptions!A:A,0))/2),INDEX(Assumptions!B:B,MATCH("Revenue growth rate",Assumptions!A:A,0)),INDEX(Assumptions!B:B,MATCH("Revenue growth rate",Assumptions!A:A,0))+(((14-INT(INDEX(Assumptions!B:B,MATCH("Years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Q6" s="25">
        <f>=IF(15&gt;INDEX(Assumptions!B:B,MATCH("Years to stability",Assumptions!A:A,0))+1,"",IF(15=INDEX(Assumptions!B:B,MATCH("Years to stability",Assumptions!A:A,0))+1,INDEX(Assumptions!B:B,MATCH("Stable growth rate",Assumptions!A:A,0)),IF(INDEX(Assumptions!B:B,MATCH("Years to stability",Assumptions!A:A,0))=1,INDEX(Assumptions!B:B,MATCH("Revenue growth rate",Assumptions!A:A,0)),IF(15&lt;=INT(INDEX(Assumptions!B:B,MATCH("Years to stability",Assumptions!A:A,0))/2),INDEX(Assumptions!B:B,MATCH("Revenue growth rate",Assumptions!A:A,0)),INDEX(Assumptions!B:B,MATCH("Revenue growth rate",Assumptions!A:A,0))+(((15-INT(INDEX(Assumptions!B:B,MATCH("Years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R6" s="25">
        <f>=IF(16&gt;INDEX(Assumptions!B:B,MATCH("Years to stability",Assumptions!A:A,0))+1,"",IF(16=INDEX(Assumptions!B:B,MATCH("Years to stability",Assumptions!A:A,0))+1,INDEX(Assumptions!B:B,MATCH("Stable growth rate",Assumptions!A:A,0)),IF(INDEX(Assumptions!B:B,MATCH("Years to stability",Assumptions!A:A,0))=1,INDEX(Assumptions!B:B,MATCH("Revenue growth rate",Assumptions!A:A,0)),IF(16&lt;=INT(INDEX(Assumptions!B:B,MATCH("Years to stability",Assumptions!A:A,0))/2),INDEX(Assumptions!B:B,MATCH("Revenue growth rate",Assumptions!A:A,0)),INDEX(Assumptions!B:B,MATCH("Revenue growth rate",Assumptions!A:A,0))+(((16-INT(INDEX(Assumptions!B:B,MATCH("Years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S6" s="25">
        <f>=IF(17&gt;INDEX(Assumptions!B:B,MATCH("Years to stability",Assumptions!A:A,0))+1,"",IF(17=INDEX(Assumptions!B:B,MATCH("Years to stability",Assumptions!A:A,0))+1,INDEX(Assumptions!B:B,MATCH("Stable growth rate",Assumptions!A:A,0)),IF(INDEX(Assumptions!B:B,MATCH("Years to stability",Assumptions!A:A,0))=1,INDEX(Assumptions!B:B,MATCH("Revenue growth rate",Assumptions!A:A,0)),IF(17&lt;=INT(INDEX(Assumptions!B:B,MATCH("Years to stability",Assumptions!A:A,0))/2),INDEX(Assumptions!B:B,MATCH("Revenue growth rate",Assumptions!A:A,0)),INDEX(Assumptions!B:B,MATCH("Revenue growth rate",Assumptions!A:A,0))+(((17-INT(INDEX(Assumptions!B:B,MATCH("Years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T6" s="25">
        <f>=IF(18&gt;INDEX(Assumptions!B:B,MATCH("Years to stability",Assumptions!A:A,0))+1,"",IF(18=INDEX(Assumptions!B:B,MATCH("Years to stability",Assumptions!A:A,0))+1,INDEX(Assumptions!B:B,MATCH("Stable growth rate",Assumptions!A:A,0)),IF(INDEX(Assumptions!B:B,MATCH("Years to stability",Assumptions!A:A,0))=1,INDEX(Assumptions!B:B,MATCH("Revenue growth rate",Assumptions!A:A,0)),IF(18&lt;=INT(INDEX(Assumptions!B:B,MATCH("Years to stability",Assumptions!A:A,0))/2),INDEX(Assumptions!B:B,MATCH("Revenue growth rate",Assumptions!A:A,0)),INDEX(Assumptions!B:B,MATCH("Revenue growth rate",Assumptions!A:A,0))+(((18-INT(INDEX(Assumptions!B:B,MATCH("Years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U6" s="25">
        <f>=IF(19&gt;INDEX(Assumptions!B:B,MATCH("Years to stability",Assumptions!A:A,0))+1,"",IF(19=INDEX(Assumptions!B:B,MATCH("Years to stability",Assumptions!A:A,0))+1,INDEX(Assumptions!B:B,MATCH("Stable growth rate",Assumptions!A:A,0)),IF(INDEX(Assumptions!B:B,MATCH("Years to stability",Assumptions!A:A,0))=1,INDEX(Assumptions!B:B,MATCH("Revenue growth rate",Assumptions!A:A,0)),IF(19&lt;=INT(INDEX(Assumptions!B:B,MATCH("Years to stability",Assumptions!A:A,0))/2),INDEX(Assumptions!B:B,MATCH("Revenue growth rate",Assumptions!A:A,0)),INDEX(Assumptions!B:B,MATCH("Revenue growth rate",Assumptions!A:A,0))+(((19-INT(INDEX(Assumptions!B:B,MATCH("Years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V6" s="25">
        <f>=IF(20&gt;INDEX(Assumptions!B:B,MATCH("Years to stability",Assumptions!A:A,0))+1,"",IF(20=INDEX(Assumptions!B:B,MATCH("Years to stability",Assumptions!A:A,0))+1,INDEX(Assumptions!B:B,MATCH("Stable growth rate",Assumptions!A:A,0)),IF(INDEX(Assumptions!B:B,MATCH("Years to stability",Assumptions!A:A,0))=1,INDEX(Assumptions!B:B,MATCH("Revenue growth rate",Assumptions!A:A,0)),IF(20&lt;=INT(INDEX(Assumptions!B:B,MATCH("Years to stability",Assumptions!A:A,0))/2),INDEX(Assumptions!B:B,MATCH("Revenue growth rate",Assumptions!A:A,0)),INDEX(Assumptions!B:B,MATCH("Revenue growth rate",Assumptions!A:A,0))+(((20-INT(INDEX(Assumptions!B:B,MATCH("Years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W6" s="25">
        <f>=IF(21&gt;INDEX(Assumptions!B:B,MATCH("Years to stability",Assumptions!A:A,0))+1,"",IF(21=INDEX(Assumptions!B:B,MATCH("Years to stability",Assumptions!A:A,0))+1,INDEX(Assumptions!B:B,MATCH("Stable growth rate",Assumptions!A:A,0)),IF(INDEX(Assumptions!B:B,MATCH("Years to stability",Assumptions!A:A,0))=1,INDEX(Assumptions!B:B,MATCH("Revenue growth rate",Assumptions!A:A,0)),IF(21&lt;=INT(INDEX(Assumptions!B:B,MATCH("Years to stability",Assumptions!A:A,0))/2),INDEX(Assumptions!B:B,MATCH("Revenue growth rate",Assumptions!A:A,0)),INDEX(Assumptions!B:B,MATCH("Revenue growth rate",Assumptions!A:A,0))+(((21-INT(INDEX(Assumptions!B:B,MATCH("Years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row>
    <row r="7" spans="1:23" x14ac:dyDescent="0.25">
      <c r="A7" s="11" t="s">
        <v>66</v>
      </c>
      <c r="B7" s="24">
        <f>=B5-B8</f>
      </c>
      <c r="C7" s="24">
        <f>=IF(1&lt;=INDEX(Assumptions!B:B,MATCH("Years to stability",Assumptions!A:A,0))+1,C5-C8,"")</f>
      </c>
      <c r="D7" s="24">
        <f>=IF(2&lt;=INDEX(Assumptions!B:B,MATCH("Years to stability",Assumptions!A:A,0))+1,D5-D8,"")</f>
      </c>
      <c r="E7" s="24">
        <f>=IF(3&lt;=INDEX(Assumptions!B:B,MATCH("Years to stability",Assumptions!A:A,0))+1,E5-E8,"")</f>
      </c>
      <c r="F7" s="24">
        <f>=IF(4&lt;=INDEX(Assumptions!B:B,MATCH("Years to stability",Assumptions!A:A,0))+1,F5-F8,"")</f>
      </c>
      <c r="G7" s="24">
        <f>=IF(5&lt;=INDEX(Assumptions!B:B,MATCH("Years to stability",Assumptions!A:A,0))+1,G5-G8,"")</f>
      </c>
      <c r="H7" s="24">
        <f>=IF(6&lt;=INDEX(Assumptions!B:B,MATCH("Years to stability",Assumptions!A:A,0))+1,H5-H8,"")</f>
      </c>
      <c r="I7" s="24">
        <f>=IF(7&lt;=INDEX(Assumptions!B:B,MATCH("Years to stability",Assumptions!A:A,0))+1,I5-I8,"")</f>
      </c>
      <c r="J7" s="24">
        <f>=IF(8&lt;=INDEX(Assumptions!B:B,MATCH("Years to stability",Assumptions!A:A,0))+1,J5-J8,"")</f>
      </c>
      <c r="K7" s="24">
        <f>=IF(9&lt;=INDEX(Assumptions!B:B,MATCH("Years to stability",Assumptions!A:A,0))+1,K5-K8,"")</f>
      </c>
      <c r="L7" s="24">
        <f>=IF(10&lt;=INDEX(Assumptions!B:B,MATCH("Years to stability",Assumptions!A:A,0))+1,L5-L8,"")</f>
      </c>
      <c r="M7" s="24">
        <f>=IF(11&lt;=INDEX(Assumptions!B:B,MATCH("Years to stability",Assumptions!A:A,0))+1,M5-M8,"")</f>
      </c>
      <c r="N7" s="24">
        <f>=IF(12&lt;=INDEX(Assumptions!B:B,MATCH("Years to stability",Assumptions!A:A,0))+1,N5-N8,"")</f>
      </c>
      <c r="O7" s="24">
        <f>=IF(13&lt;=INDEX(Assumptions!B:B,MATCH("Years to stability",Assumptions!A:A,0))+1,O5-O8,"")</f>
      </c>
      <c r="P7" s="24">
        <f>=IF(14&lt;=INDEX(Assumptions!B:B,MATCH("Years to stability",Assumptions!A:A,0))+1,P5-P8,"")</f>
      </c>
      <c r="Q7" s="24">
        <f>=IF(15&lt;=INDEX(Assumptions!B:B,MATCH("Years to stability",Assumptions!A:A,0))+1,Q5-Q8,"")</f>
      </c>
      <c r="R7" s="24">
        <f>=IF(16&lt;=INDEX(Assumptions!B:B,MATCH("Years to stability",Assumptions!A:A,0))+1,R5-R8,"")</f>
      </c>
      <c r="S7" s="24">
        <f>=IF(17&lt;=INDEX(Assumptions!B:B,MATCH("Years to stability",Assumptions!A:A,0))+1,S5-S8,"")</f>
      </c>
      <c r="T7" s="24">
        <f>=IF(18&lt;=INDEX(Assumptions!B:B,MATCH("Years to stability",Assumptions!A:A,0))+1,T5-T8,"")</f>
      </c>
      <c r="U7" s="24">
        <f>=IF(19&lt;=INDEX(Assumptions!B:B,MATCH("Years to stability",Assumptions!A:A,0))+1,U5-U8,"")</f>
      </c>
      <c r="V7" s="24">
        <f>=IF(20&lt;=INDEX(Assumptions!B:B,MATCH("Years to stability",Assumptions!A:A,0))+1,V5-V8,"")</f>
      </c>
      <c r="W7" s="24">
        <f>=IF(21&lt;=INDEX(Assumptions!B:B,MATCH("Years to stability",Assumptions!A:A,0))+1,W5-W8,"")</f>
      </c>
    </row>
    <row r="8" spans="1:23" x14ac:dyDescent="0.25">
      <c r="A8" s="11" t="s">
        <v>67</v>
      </c>
      <c r="B8" s="24">
        <f>=INDEX(Financials!B:B,MATCH("Adjusted Net Profit",Financials!A:A,0))</f>
      </c>
      <c r="C8" s="24">
        <f>=IF(1&lt;=INDEX(Assumptions!B:B,MATCH("Years to stability",Assumptions!A:A,0))+1,C5*C9,"")</f>
      </c>
      <c r="D8" s="24">
        <f>=IF(2&lt;=INDEX(Assumptions!B:B,MATCH("Years to stability",Assumptions!A:A,0))+1,D5*D9,"")</f>
      </c>
      <c r="E8" s="24">
        <f>=IF(3&lt;=INDEX(Assumptions!B:B,MATCH("Years to stability",Assumptions!A:A,0))+1,E5*E9,"")</f>
      </c>
      <c r="F8" s="24">
        <f>=IF(4&lt;=INDEX(Assumptions!B:B,MATCH("Years to stability",Assumptions!A:A,0))+1,F5*F9,"")</f>
      </c>
      <c r="G8" s="24">
        <f>=IF(5&lt;=INDEX(Assumptions!B:B,MATCH("Years to stability",Assumptions!A:A,0))+1,G5*G9,"")</f>
      </c>
      <c r="H8" s="24">
        <f>=IF(6&lt;=INDEX(Assumptions!B:B,MATCH("Years to stability",Assumptions!A:A,0))+1,H5*H9,"")</f>
      </c>
      <c r="I8" s="24">
        <f>=IF(7&lt;=INDEX(Assumptions!B:B,MATCH("Years to stability",Assumptions!A:A,0))+1,I5*I9,"")</f>
      </c>
      <c r="J8" s="24">
        <f>=IF(8&lt;=INDEX(Assumptions!B:B,MATCH("Years to stability",Assumptions!A:A,0))+1,J5*J9,"")</f>
      </c>
      <c r="K8" s="24">
        <f>=IF(9&lt;=INDEX(Assumptions!B:B,MATCH("Years to stability",Assumptions!A:A,0))+1,K5*K9,"")</f>
      </c>
      <c r="L8" s="24">
        <f>=IF(10&lt;=INDEX(Assumptions!B:B,MATCH("Years to stability",Assumptions!A:A,0))+1,L5*L9,"")</f>
      </c>
      <c r="M8" s="24">
        <f>=IF(11&lt;=INDEX(Assumptions!B:B,MATCH("Years to stability",Assumptions!A:A,0))+1,M5*M9,"")</f>
      </c>
      <c r="N8" s="24">
        <f>=IF(12&lt;=INDEX(Assumptions!B:B,MATCH("Years to stability",Assumptions!A:A,0))+1,N5*N9,"")</f>
      </c>
      <c r="O8" s="24">
        <f>=IF(13&lt;=INDEX(Assumptions!B:B,MATCH("Years to stability",Assumptions!A:A,0))+1,O5*O9,"")</f>
      </c>
      <c r="P8" s="24">
        <f>=IF(14&lt;=INDEX(Assumptions!B:B,MATCH("Years to stability",Assumptions!A:A,0))+1,P5*P9,"")</f>
      </c>
      <c r="Q8" s="24">
        <f>=IF(15&lt;=INDEX(Assumptions!B:B,MATCH("Years to stability",Assumptions!A:A,0))+1,Q5*Q9,"")</f>
      </c>
      <c r="R8" s="24">
        <f>=IF(16&lt;=INDEX(Assumptions!B:B,MATCH("Years to stability",Assumptions!A:A,0))+1,R5*R9,"")</f>
      </c>
      <c r="S8" s="24">
        <f>=IF(17&lt;=INDEX(Assumptions!B:B,MATCH("Years to stability",Assumptions!A:A,0))+1,S5*S9,"")</f>
      </c>
      <c r="T8" s="24">
        <f>=IF(18&lt;=INDEX(Assumptions!B:B,MATCH("Years to stability",Assumptions!A:A,0))+1,T5*T9,"")</f>
      </c>
      <c r="U8" s="24">
        <f>=IF(19&lt;=INDEX(Assumptions!B:B,MATCH("Years to stability",Assumptions!A:A,0))+1,U5*U9,"")</f>
      </c>
      <c r="V8" s="24">
        <f>=IF(20&lt;=INDEX(Assumptions!B:B,MATCH("Years to stability",Assumptions!A:A,0))+1,V5*V9,"")</f>
      </c>
      <c r="W8" s="24">
        <f>=IF(21&lt;=INDEX(Assumptions!B:B,MATCH("Years to stability",Assumptions!A:A,0))+1,W5*W9,"")</f>
      </c>
    </row>
    <row r="9" spans="1:23" x14ac:dyDescent="0.25">
      <c r="A9" s="11" t="s">
        <v>68</v>
      </c>
      <c r="B9" s="25">
        <f>=INDEX(Financials!B:B,MATCH("Margin",Financials!A:A,0))</f>
      </c>
      <c r="C9" s="25">
        <f>=IF(1&gt;INDEX(Assumptions!B:B,MATCH("Years to stability",Assumptions!A:A,0))+1,"",IF(INDEX(Assumptions!B:B,MATCH("Margin convergence",Assumptions!A:A,0))=0,INDEX(Assumptions!B:B,MATCH("FY+1 net profit margin",Assumptions!A:A,0))+IF(INDEX(Assumptions!B:B,MATCH("Margin convergence",Assumptions!A:A,0))=0,(1-1)/(INDEX(Assumptions!B:B,MATCH("Years to stability",Assumptions!A:A,0))-1),MIN(1-1,INDEX(Assumptions!B:B,MATCH("Margin convergence",Assumptions!A:A,0)))/INDEX(Assumptions!B:B,MATCH("Margin convergence",Assumptions!A:A,0)))*(INDEX(Assumptions!B:B,MATCH("Stable net profit margin",Assumptions!A:A,0))-INDEX(Assumptions!B:B,MATCH("FY+1 net profit margin",Assumptions!A:A,0))),IF(1-1&gt;=INDEX(Assumptions!B:B,MATCH("Margin convergence",Assumptions!A:A,0)),INDEX(Assumptions!B:B,MATCH("Stable net profit margin",Assumptions!A:A,0)),INDEX(Assumptions!B:B,MATCH("FY+1 net profit margin",Assumptions!A:A,0))+IF(INDEX(Assumptions!B:B,MATCH("Margin convergence",Assumptions!A:A,0))=0,(1-1)/(INDEX(Assumptions!B:B,MATCH("Years to stability",Assumptions!A:A,0))-1),MIN(1-1,INDEX(Assumptions!B:B,MATCH("Margin convergence",Assumptions!A:A,0)))/INDEX(Assumptions!B:B,MATCH("Margin convergence",Assumptions!A:A,0)))*(INDEX(Assumptions!B:B,MATCH("Stable net profit margin",Assumptions!A:A,0))-INDEX(Assumptions!B:B,MATCH("FY+1 net profit margin",Assumptions!A:A,0))))))</f>
      </c>
      <c r="D9" s="25">
        <f>=IF(2&gt;INDEX(Assumptions!B:B,MATCH("Years to stability",Assumptions!A:A,0))+1,"",IF(INDEX(Assumptions!B:B,MATCH("Margin convergence",Assumptions!A:A,0))=0,INDEX(Assumptions!B:B,MATCH("FY+1 net profit margin",Assumptions!A:A,0))+IF(INDEX(Assumptions!B:B,MATCH("Margin convergence",Assumptions!A:A,0))=0,(2-1)/(INDEX(Assumptions!B:B,MATCH("Years to stability",Assumptions!A:A,0))-1),MIN(2-1,INDEX(Assumptions!B:B,MATCH("Margin convergence",Assumptions!A:A,0)))/INDEX(Assumptions!B:B,MATCH("Margin convergence",Assumptions!A:A,0)))*(INDEX(Assumptions!B:B,MATCH("Stable net profit margin",Assumptions!A:A,0))-INDEX(Assumptions!B:B,MATCH("FY+1 net profit margin",Assumptions!A:A,0))),IF(2-1&gt;=INDEX(Assumptions!B:B,MATCH("Margin convergence",Assumptions!A:A,0)),INDEX(Assumptions!B:B,MATCH("Stable net profit margin",Assumptions!A:A,0)),INDEX(Assumptions!B:B,MATCH("FY+1 net profit margin",Assumptions!A:A,0))+IF(INDEX(Assumptions!B:B,MATCH("Margin convergence",Assumptions!A:A,0))=0,(2-1)/(INDEX(Assumptions!B:B,MATCH("Years to stability",Assumptions!A:A,0))-1),MIN(2-1,INDEX(Assumptions!B:B,MATCH("Margin convergence",Assumptions!A:A,0)))/INDEX(Assumptions!B:B,MATCH("Margin convergence",Assumptions!A:A,0)))*(INDEX(Assumptions!B:B,MATCH("Stable net profit margin",Assumptions!A:A,0))-INDEX(Assumptions!B:B,MATCH("FY+1 net profit margin",Assumptions!A:A,0))))))</f>
      </c>
      <c r="E9" s="25">
        <f>=IF(3&gt;INDEX(Assumptions!B:B,MATCH("Years to stability",Assumptions!A:A,0))+1,"",IF(INDEX(Assumptions!B:B,MATCH("Margin convergence",Assumptions!A:A,0))=0,INDEX(Assumptions!B:B,MATCH("FY+1 net profit margin",Assumptions!A:A,0))+IF(INDEX(Assumptions!B:B,MATCH("Margin convergence",Assumptions!A:A,0))=0,(3-1)/(INDEX(Assumptions!B:B,MATCH("Years to stability",Assumptions!A:A,0))-1),MIN(3-1,INDEX(Assumptions!B:B,MATCH("Margin convergence",Assumptions!A:A,0)))/INDEX(Assumptions!B:B,MATCH("Margin convergence",Assumptions!A:A,0)))*(INDEX(Assumptions!B:B,MATCH("Stable net profit margin",Assumptions!A:A,0))-INDEX(Assumptions!B:B,MATCH("FY+1 net profit margin",Assumptions!A:A,0))),IF(3-1&gt;=INDEX(Assumptions!B:B,MATCH("Margin convergence",Assumptions!A:A,0)),INDEX(Assumptions!B:B,MATCH("Stable net profit margin",Assumptions!A:A,0)),INDEX(Assumptions!B:B,MATCH("FY+1 net profit margin",Assumptions!A:A,0))+IF(INDEX(Assumptions!B:B,MATCH("Margin convergence",Assumptions!A:A,0))=0,(3-1)/(INDEX(Assumptions!B:B,MATCH("Years to stability",Assumptions!A:A,0))-1),MIN(3-1,INDEX(Assumptions!B:B,MATCH("Margin convergence",Assumptions!A:A,0)))/INDEX(Assumptions!B:B,MATCH("Margin convergence",Assumptions!A:A,0)))*(INDEX(Assumptions!B:B,MATCH("Stable net profit margin",Assumptions!A:A,0))-INDEX(Assumptions!B:B,MATCH("FY+1 net profit margin",Assumptions!A:A,0))))))</f>
      </c>
      <c r="F9" s="25">
        <f>=IF(4&gt;INDEX(Assumptions!B:B,MATCH("Years to stability",Assumptions!A:A,0))+1,"",IF(INDEX(Assumptions!B:B,MATCH("Margin convergence",Assumptions!A:A,0))=0,INDEX(Assumptions!B:B,MATCH("FY+1 net profit margin",Assumptions!A:A,0))+IF(INDEX(Assumptions!B:B,MATCH("Margin convergence",Assumptions!A:A,0))=0,(4-1)/(INDEX(Assumptions!B:B,MATCH("Years to stability",Assumptions!A:A,0))-1),MIN(4-1,INDEX(Assumptions!B:B,MATCH("Margin convergence",Assumptions!A:A,0)))/INDEX(Assumptions!B:B,MATCH("Margin convergence",Assumptions!A:A,0)))*(INDEX(Assumptions!B:B,MATCH("Stable net profit margin",Assumptions!A:A,0))-INDEX(Assumptions!B:B,MATCH("FY+1 net profit margin",Assumptions!A:A,0))),IF(4-1&gt;=INDEX(Assumptions!B:B,MATCH("Margin convergence",Assumptions!A:A,0)),INDEX(Assumptions!B:B,MATCH("Stable net profit margin",Assumptions!A:A,0)),INDEX(Assumptions!B:B,MATCH("FY+1 net profit margin",Assumptions!A:A,0))+IF(INDEX(Assumptions!B:B,MATCH("Margin convergence",Assumptions!A:A,0))=0,(4-1)/(INDEX(Assumptions!B:B,MATCH("Years to stability",Assumptions!A:A,0))-1),MIN(4-1,INDEX(Assumptions!B:B,MATCH("Margin convergence",Assumptions!A:A,0)))/INDEX(Assumptions!B:B,MATCH("Margin convergence",Assumptions!A:A,0)))*(INDEX(Assumptions!B:B,MATCH("Stable net profit margin",Assumptions!A:A,0))-INDEX(Assumptions!B:B,MATCH("FY+1 net profit margin",Assumptions!A:A,0))))))</f>
      </c>
      <c r="G9" s="25">
        <f>=IF(5&gt;INDEX(Assumptions!B:B,MATCH("Years to stability",Assumptions!A:A,0))+1,"",IF(INDEX(Assumptions!B:B,MATCH("Margin convergence",Assumptions!A:A,0))=0,INDEX(Assumptions!B:B,MATCH("FY+1 net profit margin",Assumptions!A:A,0))+IF(INDEX(Assumptions!B:B,MATCH("Margin convergence",Assumptions!A:A,0))=0,(5-1)/(INDEX(Assumptions!B:B,MATCH("Years to stability",Assumptions!A:A,0))-1),MIN(5-1,INDEX(Assumptions!B:B,MATCH("Margin convergence",Assumptions!A:A,0)))/INDEX(Assumptions!B:B,MATCH("Margin convergence",Assumptions!A:A,0)))*(INDEX(Assumptions!B:B,MATCH("Stable net profit margin",Assumptions!A:A,0))-INDEX(Assumptions!B:B,MATCH("FY+1 net profit margin",Assumptions!A:A,0))),IF(5-1&gt;=INDEX(Assumptions!B:B,MATCH("Margin convergence",Assumptions!A:A,0)),INDEX(Assumptions!B:B,MATCH("Stable net profit margin",Assumptions!A:A,0)),INDEX(Assumptions!B:B,MATCH("FY+1 net profit margin",Assumptions!A:A,0))+IF(INDEX(Assumptions!B:B,MATCH("Margin convergence",Assumptions!A:A,0))=0,(5-1)/(INDEX(Assumptions!B:B,MATCH("Years to stability",Assumptions!A:A,0))-1),MIN(5-1,INDEX(Assumptions!B:B,MATCH("Margin convergence",Assumptions!A:A,0)))/INDEX(Assumptions!B:B,MATCH("Margin convergence",Assumptions!A:A,0)))*(INDEX(Assumptions!B:B,MATCH("Stable net profit margin",Assumptions!A:A,0))-INDEX(Assumptions!B:B,MATCH("FY+1 net profit margin",Assumptions!A:A,0))))))</f>
      </c>
      <c r="H9" s="25">
        <f>=IF(6&gt;INDEX(Assumptions!B:B,MATCH("Years to stability",Assumptions!A:A,0))+1,"",IF(INDEX(Assumptions!B:B,MATCH("Margin convergence",Assumptions!A:A,0))=0,INDEX(Assumptions!B:B,MATCH("FY+1 net profit margin",Assumptions!A:A,0))+IF(INDEX(Assumptions!B:B,MATCH("Margin convergence",Assumptions!A:A,0))=0,(6-1)/(INDEX(Assumptions!B:B,MATCH("Years to stability",Assumptions!A:A,0))-1),MIN(6-1,INDEX(Assumptions!B:B,MATCH("Margin convergence",Assumptions!A:A,0)))/INDEX(Assumptions!B:B,MATCH("Margin convergence",Assumptions!A:A,0)))*(INDEX(Assumptions!B:B,MATCH("Stable net profit margin",Assumptions!A:A,0))-INDEX(Assumptions!B:B,MATCH("FY+1 net profit margin",Assumptions!A:A,0))),IF(6-1&gt;=INDEX(Assumptions!B:B,MATCH("Margin convergence",Assumptions!A:A,0)),INDEX(Assumptions!B:B,MATCH("Stable net profit margin",Assumptions!A:A,0)),INDEX(Assumptions!B:B,MATCH("FY+1 net profit margin",Assumptions!A:A,0))+IF(INDEX(Assumptions!B:B,MATCH("Margin convergence",Assumptions!A:A,0))=0,(6-1)/(INDEX(Assumptions!B:B,MATCH("Years to stability",Assumptions!A:A,0))-1),MIN(6-1,INDEX(Assumptions!B:B,MATCH("Margin convergence",Assumptions!A:A,0)))/INDEX(Assumptions!B:B,MATCH("Margin convergence",Assumptions!A:A,0)))*(INDEX(Assumptions!B:B,MATCH("Stable net profit margin",Assumptions!A:A,0))-INDEX(Assumptions!B:B,MATCH("FY+1 net profit margin",Assumptions!A:A,0))))))</f>
      </c>
      <c r="I9" s="25">
        <f>=IF(7&gt;INDEX(Assumptions!B:B,MATCH("Years to stability",Assumptions!A:A,0))+1,"",IF(INDEX(Assumptions!B:B,MATCH("Margin convergence",Assumptions!A:A,0))=0,INDEX(Assumptions!B:B,MATCH("FY+1 net profit margin",Assumptions!A:A,0))+IF(INDEX(Assumptions!B:B,MATCH("Margin convergence",Assumptions!A:A,0))=0,(7-1)/(INDEX(Assumptions!B:B,MATCH("Years to stability",Assumptions!A:A,0))-1),MIN(7-1,INDEX(Assumptions!B:B,MATCH("Margin convergence",Assumptions!A:A,0)))/INDEX(Assumptions!B:B,MATCH("Margin convergence",Assumptions!A:A,0)))*(INDEX(Assumptions!B:B,MATCH("Stable net profit margin",Assumptions!A:A,0))-INDEX(Assumptions!B:B,MATCH("FY+1 net profit margin",Assumptions!A:A,0))),IF(7-1&gt;=INDEX(Assumptions!B:B,MATCH("Margin convergence",Assumptions!A:A,0)),INDEX(Assumptions!B:B,MATCH("Stable net profit margin",Assumptions!A:A,0)),INDEX(Assumptions!B:B,MATCH("FY+1 net profit margin",Assumptions!A:A,0))+IF(INDEX(Assumptions!B:B,MATCH("Margin convergence",Assumptions!A:A,0))=0,(7-1)/(INDEX(Assumptions!B:B,MATCH("Years to stability",Assumptions!A:A,0))-1),MIN(7-1,INDEX(Assumptions!B:B,MATCH("Margin convergence",Assumptions!A:A,0)))/INDEX(Assumptions!B:B,MATCH("Margin convergence",Assumptions!A:A,0)))*(INDEX(Assumptions!B:B,MATCH("Stable net profit margin",Assumptions!A:A,0))-INDEX(Assumptions!B:B,MATCH("FY+1 net profit margin",Assumptions!A:A,0))))))</f>
      </c>
      <c r="J9" s="25">
        <f>=IF(8&gt;INDEX(Assumptions!B:B,MATCH("Years to stability",Assumptions!A:A,0))+1,"",IF(INDEX(Assumptions!B:B,MATCH("Margin convergence",Assumptions!A:A,0))=0,INDEX(Assumptions!B:B,MATCH("FY+1 net profit margin",Assumptions!A:A,0))+IF(INDEX(Assumptions!B:B,MATCH("Margin convergence",Assumptions!A:A,0))=0,(8-1)/(INDEX(Assumptions!B:B,MATCH("Years to stability",Assumptions!A:A,0))-1),MIN(8-1,INDEX(Assumptions!B:B,MATCH("Margin convergence",Assumptions!A:A,0)))/INDEX(Assumptions!B:B,MATCH("Margin convergence",Assumptions!A:A,0)))*(INDEX(Assumptions!B:B,MATCH("Stable net profit margin",Assumptions!A:A,0))-INDEX(Assumptions!B:B,MATCH("FY+1 net profit margin",Assumptions!A:A,0))),IF(8-1&gt;=INDEX(Assumptions!B:B,MATCH("Margin convergence",Assumptions!A:A,0)),INDEX(Assumptions!B:B,MATCH("Stable net profit margin",Assumptions!A:A,0)),INDEX(Assumptions!B:B,MATCH("FY+1 net profit margin",Assumptions!A:A,0))+IF(INDEX(Assumptions!B:B,MATCH("Margin convergence",Assumptions!A:A,0))=0,(8-1)/(INDEX(Assumptions!B:B,MATCH("Years to stability",Assumptions!A:A,0))-1),MIN(8-1,INDEX(Assumptions!B:B,MATCH("Margin convergence",Assumptions!A:A,0)))/INDEX(Assumptions!B:B,MATCH("Margin convergence",Assumptions!A:A,0)))*(INDEX(Assumptions!B:B,MATCH("Stable net profit margin",Assumptions!A:A,0))-INDEX(Assumptions!B:B,MATCH("FY+1 net profit margin",Assumptions!A:A,0))))))</f>
      </c>
      <c r="K9" s="25">
        <f>=IF(9&gt;INDEX(Assumptions!B:B,MATCH("Years to stability",Assumptions!A:A,0))+1,"",IF(INDEX(Assumptions!B:B,MATCH("Margin convergence",Assumptions!A:A,0))=0,INDEX(Assumptions!B:B,MATCH("FY+1 net profit margin",Assumptions!A:A,0))+IF(INDEX(Assumptions!B:B,MATCH("Margin convergence",Assumptions!A:A,0))=0,(9-1)/(INDEX(Assumptions!B:B,MATCH("Years to stability",Assumptions!A:A,0))-1),MIN(9-1,INDEX(Assumptions!B:B,MATCH("Margin convergence",Assumptions!A:A,0)))/INDEX(Assumptions!B:B,MATCH("Margin convergence",Assumptions!A:A,0)))*(INDEX(Assumptions!B:B,MATCH("Stable net profit margin",Assumptions!A:A,0))-INDEX(Assumptions!B:B,MATCH("FY+1 net profit margin",Assumptions!A:A,0))),IF(9-1&gt;=INDEX(Assumptions!B:B,MATCH("Margin convergence",Assumptions!A:A,0)),INDEX(Assumptions!B:B,MATCH("Stable net profit margin",Assumptions!A:A,0)),INDEX(Assumptions!B:B,MATCH("FY+1 net profit margin",Assumptions!A:A,0))+IF(INDEX(Assumptions!B:B,MATCH("Margin convergence",Assumptions!A:A,0))=0,(9-1)/(INDEX(Assumptions!B:B,MATCH("Years to stability",Assumptions!A:A,0))-1),MIN(9-1,INDEX(Assumptions!B:B,MATCH("Margin convergence",Assumptions!A:A,0)))/INDEX(Assumptions!B:B,MATCH("Margin convergence",Assumptions!A:A,0)))*(INDEX(Assumptions!B:B,MATCH("Stable net profit margin",Assumptions!A:A,0))-INDEX(Assumptions!B:B,MATCH("FY+1 net profit margin",Assumptions!A:A,0))))))</f>
      </c>
      <c r="L9" s="25">
        <f>=IF(10&gt;INDEX(Assumptions!B:B,MATCH("Years to stability",Assumptions!A:A,0))+1,"",IF(INDEX(Assumptions!B:B,MATCH("Margin convergence",Assumptions!A:A,0))=0,INDEX(Assumptions!B:B,MATCH("FY+1 net profit margin",Assumptions!A:A,0))+IF(INDEX(Assumptions!B:B,MATCH("Margin convergence",Assumptions!A:A,0))=0,(10-1)/(INDEX(Assumptions!B:B,MATCH("Years to stability",Assumptions!A:A,0))-1),MIN(10-1,INDEX(Assumptions!B:B,MATCH("Margin convergence",Assumptions!A:A,0)))/INDEX(Assumptions!B:B,MATCH("Margin convergence",Assumptions!A:A,0)))*(INDEX(Assumptions!B:B,MATCH("Stable net profit margin",Assumptions!A:A,0))-INDEX(Assumptions!B:B,MATCH("FY+1 net profit margin",Assumptions!A:A,0))),IF(10-1&gt;=INDEX(Assumptions!B:B,MATCH("Margin convergence",Assumptions!A:A,0)),INDEX(Assumptions!B:B,MATCH("Stable net profit margin",Assumptions!A:A,0)),INDEX(Assumptions!B:B,MATCH("FY+1 net profit margin",Assumptions!A:A,0))+IF(INDEX(Assumptions!B:B,MATCH("Margin convergence",Assumptions!A:A,0))=0,(10-1)/(INDEX(Assumptions!B:B,MATCH("Years to stability",Assumptions!A:A,0))-1),MIN(10-1,INDEX(Assumptions!B:B,MATCH("Margin convergence",Assumptions!A:A,0)))/INDEX(Assumptions!B:B,MATCH("Margin convergence",Assumptions!A:A,0)))*(INDEX(Assumptions!B:B,MATCH("Stable net profit margin",Assumptions!A:A,0))-INDEX(Assumptions!B:B,MATCH("FY+1 net profit margin",Assumptions!A:A,0))))))</f>
      </c>
      <c r="M9" s="25">
        <f>=IF(11&gt;INDEX(Assumptions!B:B,MATCH("Years to stability",Assumptions!A:A,0))+1,"",IF(INDEX(Assumptions!B:B,MATCH("Margin convergence",Assumptions!A:A,0))=0,INDEX(Assumptions!B:B,MATCH("FY+1 net profit margin",Assumptions!A:A,0))+IF(INDEX(Assumptions!B:B,MATCH("Margin convergence",Assumptions!A:A,0))=0,(11-1)/(INDEX(Assumptions!B:B,MATCH("Years to stability",Assumptions!A:A,0))-1),MIN(11-1,INDEX(Assumptions!B:B,MATCH("Margin convergence",Assumptions!A:A,0)))/INDEX(Assumptions!B:B,MATCH("Margin convergence",Assumptions!A:A,0)))*(INDEX(Assumptions!B:B,MATCH("Stable net profit margin",Assumptions!A:A,0))-INDEX(Assumptions!B:B,MATCH("FY+1 net profit margin",Assumptions!A:A,0))),IF(11-1&gt;=INDEX(Assumptions!B:B,MATCH("Margin convergence",Assumptions!A:A,0)),INDEX(Assumptions!B:B,MATCH("Stable net profit margin",Assumptions!A:A,0)),INDEX(Assumptions!B:B,MATCH("FY+1 net profit margin",Assumptions!A:A,0))+IF(INDEX(Assumptions!B:B,MATCH("Margin convergence",Assumptions!A:A,0))=0,(11-1)/(INDEX(Assumptions!B:B,MATCH("Years to stability",Assumptions!A:A,0))-1),MIN(11-1,INDEX(Assumptions!B:B,MATCH("Margin convergence",Assumptions!A:A,0)))/INDEX(Assumptions!B:B,MATCH("Margin convergence",Assumptions!A:A,0)))*(INDEX(Assumptions!B:B,MATCH("Stable net profit margin",Assumptions!A:A,0))-INDEX(Assumptions!B:B,MATCH("FY+1 net profit margin",Assumptions!A:A,0))))))</f>
      </c>
      <c r="N9" s="25">
        <f>=IF(12&gt;INDEX(Assumptions!B:B,MATCH("Years to stability",Assumptions!A:A,0))+1,"",IF(INDEX(Assumptions!B:B,MATCH("Margin convergence",Assumptions!A:A,0))=0,INDEX(Assumptions!B:B,MATCH("FY+1 net profit margin",Assumptions!A:A,0))+IF(INDEX(Assumptions!B:B,MATCH("Margin convergence",Assumptions!A:A,0))=0,(12-1)/(INDEX(Assumptions!B:B,MATCH("Years to stability",Assumptions!A:A,0))-1),MIN(12-1,INDEX(Assumptions!B:B,MATCH("Margin convergence",Assumptions!A:A,0)))/INDEX(Assumptions!B:B,MATCH("Margin convergence",Assumptions!A:A,0)))*(INDEX(Assumptions!B:B,MATCH("Stable net profit margin",Assumptions!A:A,0))-INDEX(Assumptions!B:B,MATCH("FY+1 net profit margin",Assumptions!A:A,0))),IF(12-1&gt;=INDEX(Assumptions!B:B,MATCH("Margin convergence",Assumptions!A:A,0)),INDEX(Assumptions!B:B,MATCH("Stable net profit margin",Assumptions!A:A,0)),INDEX(Assumptions!B:B,MATCH("FY+1 net profit margin",Assumptions!A:A,0))+IF(INDEX(Assumptions!B:B,MATCH("Margin convergence",Assumptions!A:A,0))=0,(12-1)/(INDEX(Assumptions!B:B,MATCH("Years to stability",Assumptions!A:A,0))-1),MIN(12-1,INDEX(Assumptions!B:B,MATCH("Margin convergence",Assumptions!A:A,0)))/INDEX(Assumptions!B:B,MATCH("Margin convergence",Assumptions!A:A,0)))*(INDEX(Assumptions!B:B,MATCH("Stable net profit margin",Assumptions!A:A,0))-INDEX(Assumptions!B:B,MATCH("FY+1 net profit margin",Assumptions!A:A,0))))))</f>
      </c>
      <c r="O9" s="25">
        <f>=IF(13&gt;INDEX(Assumptions!B:B,MATCH("Years to stability",Assumptions!A:A,0))+1,"",IF(INDEX(Assumptions!B:B,MATCH("Margin convergence",Assumptions!A:A,0))=0,INDEX(Assumptions!B:B,MATCH("FY+1 net profit margin",Assumptions!A:A,0))+IF(INDEX(Assumptions!B:B,MATCH("Margin convergence",Assumptions!A:A,0))=0,(13-1)/(INDEX(Assumptions!B:B,MATCH("Years to stability",Assumptions!A:A,0))-1),MIN(13-1,INDEX(Assumptions!B:B,MATCH("Margin convergence",Assumptions!A:A,0)))/INDEX(Assumptions!B:B,MATCH("Margin convergence",Assumptions!A:A,0)))*(INDEX(Assumptions!B:B,MATCH("Stable net profit margin",Assumptions!A:A,0))-INDEX(Assumptions!B:B,MATCH("FY+1 net profit margin",Assumptions!A:A,0))),IF(13-1&gt;=INDEX(Assumptions!B:B,MATCH("Margin convergence",Assumptions!A:A,0)),INDEX(Assumptions!B:B,MATCH("Stable net profit margin",Assumptions!A:A,0)),INDEX(Assumptions!B:B,MATCH("FY+1 net profit margin",Assumptions!A:A,0))+IF(INDEX(Assumptions!B:B,MATCH("Margin convergence",Assumptions!A:A,0))=0,(13-1)/(INDEX(Assumptions!B:B,MATCH("Years to stability",Assumptions!A:A,0))-1),MIN(13-1,INDEX(Assumptions!B:B,MATCH("Margin convergence",Assumptions!A:A,0)))/INDEX(Assumptions!B:B,MATCH("Margin convergence",Assumptions!A:A,0)))*(INDEX(Assumptions!B:B,MATCH("Stable net profit margin",Assumptions!A:A,0))-INDEX(Assumptions!B:B,MATCH("FY+1 net profit margin",Assumptions!A:A,0))))))</f>
      </c>
      <c r="P9" s="25">
        <f>=IF(14&gt;INDEX(Assumptions!B:B,MATCH("Years to stability",Assumptions!A:A,0))+1,"",IF(INDEX(Assumptions!B:B,MATCH("Margin convergence",Assumptions!A:A,0))=0,INDEX(Assumptions!B:B,MATCH("FY+1 net profit margin",Assumptions!A:A,0))+IF(INDEX(Assumptions!B:B,MATCH("Margin convergence",Assumptions!A:A,0))=0,(14-1)/(INDEX(Assumptions!B:B,MATCH("Years to stability",Assumptions!A:A,0))-1),MIN(14-1,INDEX(Assumptions!B:B,MATCH("Margin convergence",Assumptions!A:A,0)))/INDEX(Assumptions!B:B,MATCH("Margin convergence",Assumptions!A:A,0)))*(INDEX(Assumptions!B:B,MATCH("Stable net profit margin",Assumptions!A:A,0))-INDEX(Assumptions!B:B,MATCH("FY+1 net profit margin",Assumptions!A:A,0))),IF(14-1&gt;=INDEX(Assumptions!B:B,MATCH("Margin convergence",Assumptions!A:A,0)),INDEX(Assumptions!B:B,MATCH("Stable net profit margin",Assumptions!A:A,0)),INDEX(Assumptions!B:B,MATCH("FY+1 net profit margin",Assumptions!A:A,0))+IF(INDEX(Assumptions!B:B,MATCH("Margin convergence",Assumptions!A:A,0))=0,(14-1)/(INDEX(Assumptions!B:B,MATCH("Years to stability",Assumptions!A:A,0))-1),MIN(14-1,INDEX(Assumptions!B:B,MATCH("Margin convergence",Assumptions!A:A,0)))/INDEX(Assumptions!B:B,MATCH("Margin convergence",Assumptions!A:A,0)))*(INDEX(Assumptions!B:B,MATCH("Stable net profit margin",Assumptions!A:A,0))-INDEX(Assumptions!B:B,MATCH("FY+1 net profit margin",Assumptions!A:A,0))))))</f>
      </c>
      <c r="Q9" s="25">
        <f>=IF(15&gt;INDEX(Assumptions!B:B,MATCH("Years to stability",Assumptions!A:A,0))+1,"",IF(INDEX(Assumptions!B:B,MATCH("Margin convergence",Assumptions!A:A,0))=0,INDEX(Assumptions!B:B,MATCH("FY+1 net profit margin",Assumptions!A:A,0))+IF(INDEX(Assumptions!B:B,MATCH("Margin convergence",Assumptions!A:A,0))=0,(15-1)/(INDEX(Assumptions!B:B,MATCH("Years to stability",Assumptions!A:A,0))-1),MIN(15-1,INDEX(Assumptions!B:B,MATCH("Margin convergence",Assumptions!A:A,0)))/INDEX(Assumptions!B:B,MATCH("Margin convergence",Assumptions!A:A,0)))*(INDEX(Assumptions!B:B,MATCH("Stable net profit margin",Assumptions!A:A,0))-INDEX(Assumptions!B:B,MATCH("FY+1 net profit margin",Assumptions!A:A,0))),IF(15-1&gt;=INDEX(Assumptions!B:B,MATCH("Margin convergence",Assumptions!A:A,0)),INDEX(Assumptions!B:B,MATCH("Stable net profit margin",Assumptions!A:A,0)),INDEX(Assumptions!B:B,MATCH("FY+1 net profit margin",Assumptions!A:A,0))+IF(INDEX(Assumptions!B:B,MATCH("Margin convergence",Assumptions!A:A,0))=0,(15-1)/(INDEX(Assumptions!B:B,MATCH("Years to stability",Assumptions!A:A,0))-1),MIN(15-1,INDEX(Assumptions!B:B,MATCH("Margin convergence",Assumptions!A:A,0)))/INDEX(Assumptions!B:B,MATCH("Margin convergence",Assumptions!A:A,0)))*(INDEX(Assumptions!B:B,MATCH("Stable net profit margin",Assumptions!A:A,0))-INDEX(Assumptions!B:B,MATCH("FY+1 net profit margin",Assumptions!A:A,0))))))</f>
      </c>
      <c r="R9" s="25">
        <f>=IF(16&gt;INDEX(Assumptions!B:B,MATCH("Years to stability",Assumptions!A:A,0))+1,"",IF(INDEX(Assumptions!B:B,MATCH("Margin convergence",Assumptions!A:A,0))=0,INDEX(Assumptions!B:B,MATCH("FY+1 net profit margin",Assumptions!A:A,0))+IF(INDEX(Assumptions!B:B,MATCH("Margin convergence",Assumptions!A:A,0))=0,(16-1)/(INDEX(Assumptions!B:B,MATCH("Years to stability",Assumptions!A:A,0))-1),MIN(16-1,INDEX(Assumptions!B:B,MATCH("Margin convergence",Assumptions!A:A,0)))/INDEX(Assumptions!B:B,MATCH("Margin convergence",Assumptions!A:A,0)))*(INDEX(Assumptions!B:B,MATCH("Stable net profit margin",Assumptions!A:A,0))-INDEX(Assumptions!B:B,MATCH("FY+1 net profit margin",Assumptions!A:A,0))),IF(16-1&gt;=INDEX(Assumptions!B:B,MATCH("Margin convergence",Assumptions!A:A,0)),INDEX(Assumptions!B:B,MATCH("Stable net profit margin",Assumptions!A:A,0)),INDEX(Assumptions!B:B,MATCH("FY+1 net profit margin",Assumptions!A:A,0))+IF(INDEX(Assumptions!B:B,MATCH("Margin convergence",Assumptions!A:A,0))=0,(16-1)/(INDEX(Assumptions!B:B,MATCH("Years to stability",Assumptions!A:A,0))-1),MIN(16-1,INDEX(Assumptions!B:B,MATCH("Margin convergence",Assumptions!A:A,0)))/INDEX(Assumptions!B:B,MATCH("Margin convergence",Assumptions!A:A,0)))*(INDEX(Assumptions!B:B,MATCH("Stable net profit margin",Assumptions!A:A,0))-INDEX(Assumptions!B:B,MATCH("FY+1 net profit margin",Assumptions!A:A,0))))))</f>
      </c>
      <c r="S9" s="25">
        <f>=IF(17&gt;INDEX(Assumptions!B:B,MATCH("Years to stability",Assumptions!A:A,0))+1,"",IF(INDEX(Assumptions!B:B,MATCH("Margin convergence",Assumptions!A:A,0))=0,INDEX(Assumptions!B:B,MATCH("FY+1 net profit margin",Assumptions!A:A,0))+IF(INDEX(Assumptions!B:B,MATCH("Margin convergence",Assumptions!A:A,0))=0,(17-1)/(INDEX(Assumptions!B:B,MATCH("Years to stability",Assumptions!A:A,0))-1),MIN(17-1,INDEX(Assumptions!B:B,MATCH("Margin convergence",Assumptions!A:A,0)))/INDEX(Assumptions!B:B,MATCH("Margin convergence",Assumptions!A:A,0)))*(INDEX(Assumptions!B:B,MATCH("Stable net profit margin",Assumptions!A:A,0))-INDEX(Assumptions!B:B,MATCH("FY+1 net profit margin",Assumptions!A:A,0))),IF(17-1&gt;=INDEX(Assumptions!B:B,MATCH("Margin convergence",Assumptions!A:A,0)),INDEX(Assumptions!B:B,MATCH("Stable net profit margin",Assumptions!A:A,0)),INDEX(Assumptions!B:B,MATCH("FY+1 net profit margin",Assumptions!A:A,0))+IF(INDEX(Assumptions!B:B,MATCH("Margin convergence",Assumptions!A:A,0))=0,(17-1)/(INDEX(Assumptions!B:B,MATCH("Years to stability",Assumptions!A:A,0))-1),MIN(17-1,INDEX(Assumptions!B:B,MATCH("Margin convergence",Assumptions!A:A,0)))/INDEX(Assumptions!B:B,MATCH("Margin convergence",Assumptions!A:A,0)))*(INDEX(Assumptions!B:B,MATCH("Stable net profit margin",Assumptions!A:A,0))-INDEX(Assumptions!B:B,MATCH("FY+1 net profit margin",Assumptions!A:A,0))))))</f>
      </c>
      <c r="T9" s="25">
        <f>=IF(18&gt;INDEX(Assumptions!B:B,MATCH("Years to stability",Assumptions!A:A,0))+1,"",IF(INDEX(Assumptions!B:B,MATCH("Margin convergence",Assumptions!A:A,0))=0,INDEX(Assumptions!B:B,MATCH("FY+1 net profit margin",Assumptions!A:A,0))+IF(INDEX(Assumptions!B:B,MATCH("Margin convergence",Assumptions!A:A,0))=0,(18-1)/(INDEX(Assumptions!B:B,MATCH("Years to stability",Assumptions!A:A,0))-1),MIN(18-1,INDEX(Assumptions!B:B,MATCH("Margin convergence",Assumptions!A:A,0)))/INDEX(Assumptions!B:B,MATCH("Margin convergence",Assumptions!A:A,0)))*(INDEX(Assumptions!B:B,MATCH("Stable net profit margin",Assumptions!A:A,0))-INDEX(Assumptions!B:B,MATCH("FY+1 net profit margin",Assumptions!A:A,0))),IF(18-1&gt;=INDEX(Assumptions!B:B,MATCH("Margin convergence",Assumptions!A:A,0)),INDEX(Assumptions!B:B,MATCH("Stable net profit margin",Assumptions!A:A,0)),INDEX(Assumptions!B:B,MATCH("FY+1 net profit margin",Assumptions!A:A,0))+IF(INDEX(Assumptions!B:B,MATCH("Margin convergence",Assumptions!A:A,0))=0,(18-1)/(INDEX(Assumptions!B:B,MATCH("Years to stability",Assumptions!A:A,0))-1),MIN(18-1,INDEX(Assumptions!B:B,MATCH("Margin convergence",Assumptions!A:A,0)))/INDEX(Assumptions!B:B,MATCH("Margin convergence",Assumptions!A:A,0)))*(INDEX(Assumptions!B:B,MATCH("Stable net profit margin",Assumptions!A:A,0))-INDEX(Assumptions!B:B,MATCH("FY+1 net profit margin",Assumptions!A:A,0))))))</f>
      </c>
      <c r="U9" s="25">
        <f>=IF(19&gt;INDEX(Assumptions!B:B,MATCH("Years to stability",Assumptions!A:A,0))+1,"",IF(INDEX(Assumptions!B:B,MATCH("Margin convergence",Assumptions!A:A,0))=0,INDEX(Assumptions!B:B,MATCH("FY+1 net profit margin",Assumptions!A:A,0))+IF(INDEX(Assumptions!B:B,MATCH("Margin convergence",Assumptions!A:A,0))=0,(19-1)/(INDEX(Assumptions!B:B,MATCH("Years to stability",Assumptions!A:A,0))-1),MIN(19-1,INDEX(Assumptions!B:B,MATCH("Margin convergence",Assumptions!A:A,0)))/INDEX(Assumptions!B:B,MATCH("Margin convergence",Assumptions!A:A,0)))*(INDEX(Assumptions!B:B,MATCH("Stable net profit margin",Assumptions!A:A,0))-INDEX(Assumptions!B:B,MATCH("FY+1 net profit margin",Assumptions!A:A,0))),IF(19-1&gt;=INDEX(Assumptions!B:B,MATCH("Margin convergence",Assumptions!A:A,0)),INDEX(Assumptions!B:B,MATCH("Stable net profit margin",Assumptions!A:A,0)),INDEX(Assumptions!B:B,MATCH("FY+1 net profit margin",Assumptions!A:A,0))+IF(INDEX(Assumptions!B:B,MATCH("Margin convergence",Assumptions!A:A,0))=0,(19-1)/(INDEX(Assumptions!B:B,MATCH("Years to stability",Assumptions!A:A,0))-1),MIN(19-1,INDEX(Assumptions!B:B,MATCH("Margin convergence",Assumptions!A:A,0)))/INDEX(Assumptions!B:B,MATCH("Margin convergence",Assumptions!A:A,0)))*(INDEX(Assumptions!B:B,MATCH("Stable net profit margin",Assumptions!A:A,0))-INDEX(Assumptions!B:B,MATCH("FY+1 net profit margin",Assumptions!A:A,0))))))</f>
      </c>
      <c r="V9" s="25">
        <f>=IF(20&gt;INDEX(Assumptions!B:B,MATCH("Years to stability",Assumptions!A:A,0))+1,"",IF(INDEX(Assumptions!B:B,MATCH("Margin convergence",Assumptions!A:A,0))=0,INDEX(Assumptions!B:B,MATCH("FY+1 net profit margin",Assumptions!A:A,0))+IF(INDEX(Assumptions!B:B,MATCH("Margin convergence",Assumptions!A:A,0))=0,(20-1)/(INDEX(Assumptions!B:B,MATCH("Years to stability",Assumptions!A:A,0))-1),MIN(20-1,INDEX(Assumptions!B:B,MATCH("Margin convergence",Assumptions!A:A,0)))/INDEX(Assumptions!B:B,MATCH("Margin convergence",Assumptions!A:A,0)))*(INDEX(Assumptions!B:B,MATCH("Stable net profit margin",Assumptions!A:A,0))-INDEX(Assumptions!B:B,MATCH("FY+1 net profit margin",Assumptions!A:A,0))),IF(20-1&gt;=INDEX(Assumptions!B:B,MATCH("Margin convergence",Assumptions!A:A,0)),INDEX(Assumptions!B:B,MATCH("Stable net profit margin",Assumptions!A:A,0)),INDEX(Assumptions!B:B,MATCH("FY+1 net profit margin",Assumptions!A:A,0))+IF(INDEX(Assumptions!B:B,MATCH("Margin convergence",Assumptions!A:A,0))=0,(20-1)/(INDEX(Assumptions!B:B,MATCH("Years to stability",Assumptions!A:A,0))-1),MIN(20-1,INDEX(Assumptions!B:B,MATCH("Margin convergence",Assumptions!A:A,0)))/INDEX(Assumptions!B:B,MATCH("Margin convergence",Assumptions!A:A,0)))*(INDEX(Assumptions!B:B,MATCH("Stable net profit margin",Assumptions!A:A,0))-INDEX(Assumptions!B:B,MATCH("FY+1 net profit margin",Assumptions!A:A,0))))))</f>
      </c>
      <c r="W9" s="25">
        <f>=IF(21&gt;INDEX(Assumptions!B:B,MATCH("Years to stability",Assumptions!A:A,0))+1,"",IF(INDEX(Assumptions!B:B,MATCH("Margin convergence",Assumptions!A:A,0))=0,INDEX(Assumptions!B:B,MATCH("FY+1 net profit margin",Assumptions!A:A,0))+IF(INDEX(Assumptions!B:B,MATCH("Margin convergence",Assumptions!A:A,0))=0,(21-1)/(INDEX(Assumptions!B:B,MATCH("Years to stability",Assumptions!A:A,0))-1),MIN(21-1,INDEX(Assumptions!B:B,MATCH("Margin convergence",Assumptions!A:A,0)))/INDEX(Assumptions!B:B,MATCH("Margin convergence",Assumptions!A:A,0)))*(INDEX(Assumptions!B:B,MATCH("Stable net profit margin",Assumptions!A:A,0))-INDEX(Assumptions!B:B,MATCH("FY+1 net profit margin",Assumptions!A:A,0))),IF(21-1&gt;=INDEX(Assumptions!B:B,MATCH("Margin convergence",Assumptions!A:A,0)),INDEX(Assumptions!B:B,MATCH("Stable net profit margin",Assumptions!A:A,0)),INDEX(Assumptions!B:B,MATCH("FY+1 net profit margin",Assumptions!A:A,0))+IF(INDEX(Assumptions!B:B,MATCH("Margin convergence",Assumptions!A:A,0))=0,(21-1)/(INDEX(Assumptions!B:B,MATCH("Years to stability",Assumptions!A:A,0))-1),MIN(21-1,INDEX(Assumptions!B:B,MATCH("Margin convergence",Assumptions!A:A,0)))/INDEX(Assumptions!B:B,MATCH("Margin convergence",Assumptions!A:A,0)))*(INDEX(Assumptions!B:B,MATCH("Stable net profit margin",Assumptions!A:A,0))-INDEX(Assumptions!B:B,MATCH("FY+1 net profit margin",Assumptions!A:A,0))))))</f>
      </c>
    </row>
    <row r="10" spans="1:23" x14ac:dyDescent="0.25">
      <c r="A10" s="11" t="s">
        <v>69</v>
      </c>
      <c r="B10" s="24">
        <f>=INDEX(Financials!B:B,MATCH("Reinvestment",Financials!A:A,0))</f>
      </c>
      <c r="C10" s="24">
        <f>=IF(1&lt;=INDEX(Assumptions!B:B,MATCH("Years to stability",Assumptions!A:A,0))+1,IF(1=INDEX(Assumptions!B:B,MATCH("Years to stability",Assumptions!A:A,0))+1,C8*INDEX(Assumptions!B:B,MATCH("Stable growth rate",Assumptions!A:A,0))/INDEX(Assumptions!B:B,MATCH("Stable ROE",Assumptions!A:A,0)),(C5-B5)/INDEX(Assumptions!B:B,MATCH("Sales-to-equity ratio",Assumptions!A:A,0))),"")</f>
      </c>
      <c r="D10" s="24">
        <f>=IF(2&lt;=INDEX(Assumptions!B:B,MATCH("Years to stability",Assumptions!A:A,0))+1,IF(2=INDEX(Assumptions!B:B,MATCH("Years to stability",Assumptions!A:A,0))+1,D8*INDEX(Assumptions!B:B,MATCH("Stable growth rate",Assumptions!A:A,0))/INDEX(Assumptions!B:B,MATCH("Stable ROE",Assumptions!A:A,0)),(D5-C5)/INDEX(Assumptions!B:B,MATCH("Sales-to-equity ratio",Assumptions!A:A,0))),"")</f>
      </c>
      <c r="E10" s="24">
        <f>=IF(3&lt;=INDEX(Assumptions!B:B,MATCH("Years to stability",Assumptions!A:A,0))+1,IF(3=INDEX(Assumptions!B:B,MATCH("Years to stability",Assumptions!A:A,0))+1,E8*INDEX(Assumptions!B:B,MATCH("Stable growth rate",Assumptions!A:A,0))/INDEX(Assumptions!B:B,MATCH("Stable ROE",Assumptions!A:A,0)),(E5-D5)/INDEX(Assumptions!B:B,MATCH("Sales-to-equity ratio",Assumptions!A:A,0))),"")</f>
      </c>
      <c r="F10" s="24">
        <f>=IF(4&lt;=INDEX(Assumptions!B:B,MATCH("Years to stability",Assumptions!A:A,0))+1,IF(4=INDEX(Assumptions!B:B,MATCH("Years to stability",Assumptions!A:A,0))+1,F8*INDEX(Assumptions!B:B,MATCH("Stable growth rate",Assumptions!A:A,0))/INDEX(Assumptions!B:B,MATCH("Stable ROE",Assumptions!A:A,0)),(F5-E5)/INDEX(Assumptions!B:B,MATCH("Sales-to-equity ratio",Assumptions!A:A,0))),"")</f>
      </c>
      <c r="G10" s="24">
        <f>=IF(5&lt;=INDEX(Assumptions!B:B,MATCH("Years to stability",Assumptions!A:A,0))+1,IF(5=INDEX(Assumptions!B:B,MATCH("Years to stability",Assumptions!A:A,0))+1,G8*INDEX(Assumptions!B:B,MATCH("Stable growth rate",Assumptions!A:A,0))/INDEX(Assumptions!B:B,MATCH("Stable ROE",Assumptions!A:A,0)),(G5-F5)/INDEX(Assumptions!B:B,MATCH("Sales-to-equity ratio",Assumptions!A:A,0))),"")</f>
      </c>
      <c r="H10" s="24">
        <f>=IF(6&lt;=INDEX(Assumptions!B:B,MATCH("Years to stability",Assumptions!A:A,0))+1,IF(6=INDEX(Assumptions!B:B,MATCH("Years to stability",Assumptions!A:A,0))+1,H8*INDEX(Assumptions!B:B,MATCH("Stable growth rate",Assumptions!A:A,0))/INDEX(Assumptions!B:B,MATCH("Stable ROE",Assumptions!A:A,0)),(H5-G5)/INDEX(Assumptions!B:B,MATCH("Sales-to-equity ratio",Assumptions!A:A,0))),"")</f>
      </c>
      <c r="I10" s="24">
        <f>=IF(7&lt;=INDEX(Assumptions!B:B,MATCH("Years to stability",Assumptions!A:A,0))+1,IF(7=INDEX(Assumptions!B:B,MATCH("Years to stability",Assumptions!A:A,0))+1,I8*INDEX(Assumptions!B:B,MATCH("Stable growth rate",Assumptions!A:A,0))/INDEX(Assumptions!B:B,MATCH("Stable ROE",Assumptions!A:A,0)),(I5-H5)/INDEX(Assumptions!B:B,MATCH("Sales-to-equity ratio",Assumptions!A:A,0))),"")</f>
      </c>
      <c r="J10" s="24">
        <f>=IF(8&lt;=INDEX(Assumptions!B:B,MATCH("Years to stability",Assumptions!A:A,0))+1,IF(8=INDEX(Assumptions!B:B,MATCH("Years to stability",Assumptions!A:A,0))+1,J8*INDEX(Assumptions!B:B,MATCH("Stable growth rate",Assumptions!A:A,0))/INDEX(Assumptions!B:B,MATCH("Stable ROE",Assumptions!A:A,0)),(J5-I5)/INDEX(Assumptions!B:B,MATCH("Sales-to-equity ratio",Assumptions!A:A,0))),"")</f>
      </c>
      <c r="K10" s="24">
        <f>=IF(9&lt;=INDEX(Assumptions!B:B,MATCH("Years to stability",Assumptions!A:A,0))+1,IF(9=INDEX(Assumptions!B:B,MATCH("Years to stability",Assumptions!A:A,0))+1,K8*INDEX(Assumptions!B:B,MATCH("Stable growth rate",Assumptions!A:A,0))/INDEX(Assumptions!B:B,MATCH("Stable ROE",Assumptions!A:A,0)),(K5-J5)/INDEX(Assumptions!B:B,MATCH("Sales-to-equity ratio",Assumptions!A:A,0))),"")</f>
      </c>
      <c r="L10" s="24">
        <f>=IF(10&lt;=INDEX(Assumptions!B:B,MATCH("Years to stability",Assumptions!A:A,0))+1,IF(10=INDEX(Assumptions!B:B,MATCH("Years to stability",Assumptions!A:A,0))+1,L8*INDEX(Assumptions!B:B,MATCH("Stable growth rate",Assumptions!A:A,0))/INDEX(Assumptions!B:B,MATCH("Stable ROE",Assumptions!A:A,0)),(L5-K5)/INDEX(Assumptions!B:B,MATCH("Sales-to-equity ratio",Assumptions!A:A,0))),"")</f>
      </c>
      <c r="M10" s="24">
        <f>=IF(11&lt;=INDEX(Assumptions!B:B,MATCH("Years to stability",Assumptions!A:A,0))+1,IF(11=INDEX(Assumptions!B:B,MATCH("Years to stability",Assumptions!A:A,0))+1,M8*INDEX(Assumptions!B:B,MATCH("Stable growth rate",Assumptions!A:A,0))/INDEX(Assumptions!B:B,MATCH("Stable ROE",Assumptions!A:A,0)),(M5-L5)/INDEX(Assumptions!B:B,MATCH("Sales-to-equity ratio",Assumptions!A:A,0))),"")</f>
      </c>
      <c r="N10" s="24">
        <f>=IF(12&lt;=INDEX(Assumptions!B:B,MATCH("Years to stability",Assumptions!A:A,0))+1,IF(12=INDEX(Assumptions!B:B,MATCH("Years to stability",Assumptions!A:A,0))+1,N8*INDEX(Assumptions!B:B,MATCH("Stable growth rate",Assumptions!A:A,0))/INDEX(Assumptions!B:B,MATCH("Stable ROE",Assumptions!A:A,0)),(N5-M5)/INDEX(Assumptions!B:B,MATCH("Sales-to-equity ratio",Assumptions!A:A,0))),"")</f>
      </c>
      <c r="O10" s="24">
        <f>=IF(13&lt;=INDEX(Assumptions!B:B,MATCH("Years to stability",Assumptions!A:A,0))+1,IF(13=INDEX(Assumptions!B:B,MATCH("Years to stability",Assumptions!A:A,0))+1,O8*INDEX(Assumptions!B:B,MATCH("Stable growth rate",Assumptions!A:A,0))/INDEX(Assumptions!B:B,MATCH("Stable ROE",Assumptions!A:A,0)),(O5-N5)/INDEX(Assumptions!B:B,MATCH("Sales-to-equity ratio",Assumptions!A:A,0))),"")</f>
      </c>
      <c r="P10" s="24">
        <f>=IF(14&lt;=INDEX(Assumptions!B:B,MATCH("Years to stability",Assumptions!A:A,0))+1,IF(14=INDEX(Assumptions!B:B,MATCH("Years to stability",Assumptions!A:A,0))+1,P8*INDEX(Assumptions!B:B,MATCH("Stable growth rate",Assumptions!A:A,0))/INDEX(Assumptions!B:B,MATCH("Stable ROE",Assumptions!A:A,0)),(P5-O5)/INDEX(Assumptions!B:B,MATCH("Sales-to-equity ratio",Assumptions!A:A,0))),"")</f>
      </c>
      <c r="Q10" s="24">
        <f>=IF(15&lt;=INDEX(Assumptions!B:B,MATCH("Years to stability",Assumptions!A:A,0))+1,IF(15=INDEX(Assumptions!B:B,MATCH("Years to stability",Assumptions!A:A,0))+1,Q8*INDEX(Assumptions!B:B,MATCH("Stable growth rate",Assumptions!A:A,0))/INDEX(Assumptions!B:B,MATCH("Stable ROE",Assumptions!A:A,0)),(Q5-P5)/INDEX(Assumptions!B:B,MATCH("Sales-to-equity ratio",Assumptions!A:A,0))),"")</f>
      </c>
      <c r="R10" s="24">
        <f>=IF(16&lt;=INDEX(Assumptions!B:B,MATCH("Years to stability",Assumptions!A:A,0))+1,IF(16=INDEX(Assumptions!B:B,MATCH("Years to stability",Assumptions!A:A,0))+1,R8*INDEX(Assumptions!B:B,MATCH("Stable growth rate",Assumptions!A:A,0))/INDEX(Assumptions!B:B,MATCH("Stable ROE",Assumptions!A:A,0)),(R5-Q5)/INDEX(Assumptions!B:B,MATCH("Sales-to-equity ratio",Assumptions!A:A,0))),"")</f>
      </c>
      <c r="S10" s="24">
        <f>=IF(17&lt;=INDEX(Assumptions!B:B,MATCH("Years to stability",Assumptions!A:A,0))+1,IF(17=INDEX(Assumptions!B:B,MATCH("Years to stability",Assumptions!A:A,0))+1,S8*INDEX(Assumptions!B:B,MATCH("Stable growth rate",Assumptions!A:A,0))/INDEX(Assumptions!B:B,MATCH("Stable ROE",Assumptions!A:A,0)),(S5-R5)/INDEX(Assumptions!B:B,MATCH("Sales-to-equity ratio",Assumptions!A:A,0))),"")</f>
      </c>
      <c r="T10" s="24">
        <f>=IF(18&lt;=INDEX(Assumptions!B:B,MATCH("Years to stability",Assumptions!A:A,0))+1,IF(18=INDEX(Assumptions!B:B,MATCH("Years to stability",Assumptions!A:A,0))+1,T8*INDEX(Assumptions!B:B,MATCH("Stable growth rate",Assumptions!A:A,0))/INDEX(Assumptions!B:B,MATCH("Stable ROE",Assumptions!A:A,0)),(T5-S5)/INDEX(Assumptions!B:B,MATCH("Sales-to-equity ratio",Assumptions!A:A,0))),"")</f>
      </c>
      <c r="U10" s="24">
        <f>=IF(19&lt;=INDEX(Assumptions!B:B,MATCH("Years to stability",Assumptions!A:A,0))+1,IF(19=INDEX(Assumptions!B:B,MATCH("Years to stability",Assumptions!A:A,0))+1,U8*INDEX(Assumptions!B:B,MATCH("Stable growth rate",Assumptions!A:A,0))/INDEX(Assumptions!B:B,MATCH("Stable ROE",Assumptions!A:A,0)),(U5-T5)/INDEX(Assumptions!B:B,MATCH("Sales-to-equity ratio",Assumptions!A:A,0))),"")</f>
      </c>
      <c r="V10" s="24">
        <f>=IF(20&lt;=INDEX(Assumptions!B:B,MATCH("Years to stability",Assumptions!A:A,0))+1,IF(20=INDEX(Assumptions!B:B,MATCH("Years to stability",Assumptions!A:A,0))+1,V8*INDEX(Assumptions!B:B,MATCH("Stable growth rate",Assumptions!A:A,0))/INDEX(Assumptions!B:B,MATCH("Stable ROE",Assumptions!A:A,0)),(V5-U5)/INDEX(Assumptions!B:B,MATCH("Sales-to-equity ratio",Assumptions!A:A,0))),"")</f>
      </c>
      <c r="W10" s="24">
        <f>=IF(21&lt;=INDEX(Assumptions!B:B,MATCH("Years to stability",Assumptions!A:A,0))+1,IF(21=INDEX(Assumptions!B:B,MATCH("Years to stability",Assumptions!A:A,0))+1,W8*INDEX(Assumptions!B:B,MATCH("Stable growth rate",Assumptions!A:A,0))/INDEX(Assumptions!B:B,MATCH("Stable ROE",Assumptions!A:A,0)),(W5-V5)/INDEX(Assumptions!B:B,MATCH("Sales-to-equity ratio",Assumptions!A:A,0))),"")</f>
      </c>
    </row>
    <row r="11" spans="1:23" x14ac:dyDescent="0.25">
      <c r="A11" s="11" t="s">
        <v>70</v>
      </c>
      <c r="B11" s="24">
        <f>=INDEX(Financials!B:B,MATCH("Adjusted Equity",Financials!A:A,0))</f>
      </c>
      <c r="C11" s="24">
        <f>=IF(1&lt;=INDEX(Assumptions!B:B,MATCH("Years to stability",Assumptions!A:A,0))+1,B11+C10,"")</f>
      </c>
      <c r="D11" s="24">
        <f>=IF(2&lt;=INDEX(Assumptions!B:B,MATCH("Years to stability",Assumptions!A:A,0))+1,C11+D10,"")</f>
      </c>
      <c r="E11" s="24">
        <f>=IF(3&lt;=INDEX(Assumptions!B:B,MATCH("Years to stability",Assumptions!A:A,0))+1,D11+E10,"")</f>
      </c>
      <c r="F11" s="24">
        <f>=IF(4&lt;=INDEX(Assumptions!B:B,MATCH("Years to stability",Assumptions!A:A,0))+1,E11+F10,"")</f>
      </c>
      <c r="G11" s="24">
        <f>=IF(5&lt;=INDEX(Assumptions!B:B,MATCH("Years to stability",Assumptions!A:A,0))+1,F11+G10,"")</f>
      </c>
      <c r="H11" s="24">
        <f>=IF(6&lt;=INDEX(Assumptions!B:B,MATCH("Years to stability",Assumptions!A:A,0))+1,G11+H10,"")</f>
      </c>
      <c r="I11" s="24">
        <f>=IF(7&lt;=INDEX(Assumptions!B:B,MATCH("Years to stability",Assumptions!A:A,0))+1,H11+I10,"")</f>
      </c>
      <c r="J11" s="24">
        <f>=IF(8&lt;=INDEX(Assumptions!B:B,MATCH("Years to stability",Assumptions!A:A,0))+1,I11+J10,"")</f>
      </c>
      <c r="K11" s="24">
        <f>=IF(9&lt;=INDEX(Assumptions!B:B,MATCH("Years to stability",Assumptions!A:A,0))+1,J11+K10,"")</f>
      </c>
      <c r="L11" s="24">
        <f>=IF(10&lt;=INDEX(Assumptions!B:B,MATCH("Years to stability",Assumptions!A:A,0))+1,K11+L10,"")</f>
      </c>
      <c r="M11" s="24">
        <f>=IF(11&lt;=INDEX(Assumptions!B:B,MATCH("Years to stability",Assumptions!A:A,0))+1,L11+M10,"")</f>
      </c>
      <c r="N11" s="24">
        <f>=IF(12&lt;=INDEX(Assumptions!B:B,MATCH("Years to stability",Assumptions!A:A,0))+1,M11+N10,"")</f>
      </c>
      <c r="O11" s="24">
        <f>=IF(13&lt;=INDEX(Assumptions!B:B,MATCH("Years to stability",Assumptions!A:A,0))+1,N11+O10,"")</f>
      </c>
      <c r="P11" s="24">
        <f>=IF(14&lt;=INDEX(Assumptions!B:B,MATCH("Years to stability",Assumptions!A:A,0))+1,O11+P10,"")</f>
      </c>
      <c r="Q11" s="24">
        <f>=IF(15&lt;=INDEX(Assumptions!B:B,MATCH("Years to stability",Assumptions!A:A,0))+1,P11+Q10,"")</f>
      </c>
      <c r="R11" s="24">
        <f>=IF(16&lt;=INDEX(Assumptions!B:B,MATCH("Years to stability",Assumptions!A:A,0))+1,Q11+R10,"")</f>
      </c>
      <c r="S11" s="24">
        <f>=IF(17&lt;=INDEX(Assumptions!B:B,MATCH("Years to stability",Assumptions!A:A,0))+1,R11+S10,"")</f>
      </c>
      <c r="T11" s="24">
        <f>=IF(18&lt;=INDEX(Assumptions!B:B,MATCH("Years to stability",Assumptions!A:A,0))+1,S11+T10,"")</f>
      </c>
      <c r="U11" s="24">
        <f>=IF(19&lt;=INDEX(Assumptions!B:B,MATCH("Years to stability",Assumptions!A:A,0))+1,T11+U10,"")</f>
      </c>
      <c r="V11" s="24">
        <f>=IF(20&lt;=INDEX(Assumptions!B:B,MATCH("Years to stability",Assumptions!A:A,0))+1,U11+V10,"")</f>
      </c>
      <c r="W11" s="24">
        <f>=IF(21&lt;=INDEX(Assumptions!B:B,MATCH("Years to stability",Assumptions!A:A,0))+1,V11+W10,"")</f>
      </c>
    </row>
    <row r="12" spans="1:23" x14ac:dyDescent="0.25">
      <c r="A12" s="11" t="s">
        <v>71</v>
      </c>
      <c r="B12" s="25">
        <f>=B8/B11</f>
      </c>
      <c r="C12" s="25">
        <f>=IF(1&gt;INDEX(Assumptions!B:B,MATCH("Years to stability",Assumptions!A:A,0))+1,"",IF(1=INDEX(Assumptions!B:B,MATCH("Years to stability",Assumptions!A:A,0))+1,INDEX(Assumptions!B:B,MATCH("Stable ROE",Assumptions!A:A,0)),C8/C11))</f>
      </c>
      <c r="D12" s="25">
        <f>=IF(2&gt;INDEX(Assumptions!B:B,MATCH("Years to stability",Assumptions!A:A,0))+1,"",IF(2=INDEX(Assumptions!B:B,MATCH("Years to stability",Assumptions!A:A,0))+1,INDEX(Assumptions!B:B,MATCH("Stable ROE",Assumptions!A:A,0)),D8/D11))</f>
      </c>
      <c r="E12" s="25">
        <f>=IF(3&gt;INDEX(Assumptions!B:B,MATCH("Years to stability",Assumptions!A:A,0))+1,"",IF(3=INDEX(Assumptions!B:B,MATCH("Years to stability",Assumptions!A:A,0))+1,INDEX(Assumptions!B:B,MATCH("Stable ROE",Assumptions!A:A,0)),E8/E11))</f>
      </c>
      <c r="F12" s="25">
        <f>=IF(4&gt;INDEX(Assumptions!B:B,MATCH("Years to stability",Assumptions!A:A,0))+1,"",IF(4=INDEX(Assumptions!B:B,MATCH("Years to stability",Assumptions!A:A,0))+1,INDEX(Assumptions!B:B,MATCH("Stable ROE",Assumptions!A:A,0)),F8/F11))</f>
      </c>
      <c r="G12" s="25">
        <f>=IF(5&gt;INDEX(Assumptions!B:B,MATCH("Years to stability",Assumptions!A:A,0))+1,"",IF(5=INDEX(Assumptions!B:B,MATCH("Years to stability",Assumptions!A:A,0))+1,INDEX(Assumptions!B:B,MATCH("Stable ROE",Assumptions!A:A,0)),G8/G11))</f>
      </c>
      <c r="H12" s="25">
        <f>=IF(6&gt;INDEX(Assumptions!B:B,MATCH("Years to stability",Assumptions!A:A,0))+1,"",IF(6=INDEX(Assumptions!B:B,MATCH("Years to stability",Assumptions!A:A,0))+1,INDEX(Assumptions!B:B,MATCH("Stable ROE",Assumptions!A:A,0)),H8/H11))</f>
      </c>
      <c r="I12" s="25">
        <f>=IF(7&gt;INDEX(Assumptions!B:B,MATCH("Years to stability",Assumptions!A:A,0))+1,"",IF(7=INDEX(Assumptions!B:B,MATCH("Years to stability",Assumptions!A:A,0))+1,INDEX(Assumptions!B:B,MATCH("Stable ROE",Assumptions!A:A,0)),I8/I11))</f>
      </c>
      <c r="J12" s="25">
        <f>=IF(8&gt;INDEX(Assumptions!B:B,MATCH("Years to stability",Assumptions!A:A,0))+1,"",IF(8=INDEX(Assumptions!B:B,MATCH("Years to stability",Assumptions!A:A,0))+1,INDEX(Assumptions!B:B,MATCH("Stable ROE",Assumptions!A:A,0)),J8/J11))</f>
      </c>
      <c r="K12" s="25">
        <f>=IF(9&gt;INDEX(Assumptions!B:B,MATCH("Years to stability",Assumptions!A:A,0))+1,"",IF(9=INDEX(Assumptions!B:B,MATCH("Years to stability",Assumptions!A:A,0))+1,INDEX(Assumptions!B:B,MATCH("Stable ROE",Assumptions!A:A,0)),K8/K11))</f>
      </c>
      <c r="L12" s="25">
        <f>=IF(10&gt;INDEX(Assumptions!B:B,MATCH("Years to stability",Assumptions!A:A,0))+1,"",IF(10=INDEX(Assumptions!B:B,MATCH("Years to stability",Assumptions!A:A,0))+1,INDEX(Assumptions!B:B,MATCH("Stable ROE",Assumptions!A:A,0)),L8/L11))</f>
      </c>
      <c r="M12" s="25">
        <f>=IF(11&gt;INDEX(Assumptions!B:B,MATCH("Years to stability",Assumptions!A:A,0))+1,"",IF(11=INDEX(Assumptions!B:B,MATCH("Years to stability",Assumptions!A:A,0))+1,INDEX(Assumptions!B:B,MATCH("Stable ROE",Assumptions!A:A,0)),M8/M11))</f>
      </c>
      <c r="N12" s="25">
        <f>=IF(12&gt;INDEX(Assumptions!B:B,MATCH("Years to stability",Assumptions!A:A,0))+1,"",IF(12=INDEX(Assumptions!B:B,MATCH("Years to stability",Assumptions!A:A,0))+1,INDEX(Assumptions!B:B,MATCH("Stable ROE",Assumptions!A:A,0)),N8/N11))</f>
      </c>
      <c r="O12" s="25">
        <f>=IF(13&gt;INDEX(Assumptions!B:B,MATCH("Years to stability",Assumptions!A:A,0))+1,"",IF(13=INDEX(Assumptions!B:B,MATCH("Years to stability",Assumptions!A:A,0))+1,INDEX(Assumptions!B:B,MATCH("Stable ROE",Assumptions!A:A,0)),O8/O11))</f>
      </c>
      <c r="P12" s="25">
        <f>=IF(14&gt;INDEX(Assumptions!B:B,MATCH("Years to stability",Assumptions!A:A,0))+1,"",IF(14=INDEX(Assumptions!B:B,MATCH("Years to stability",Assumptions!A:A,0))+1,INDEX(Assumptions!B:B,MATCH("Stable ROE",Assumptions!A:A,0)),P8/P11))</f>
      </c>
      <c r="Q12" s="25">
        <f>=IF(15&gt;INDEX(Assumptions!B:B,MATCH("Years to stability",Assumptions!A:A,0))+1,"",IF(15=INDEX(Assumptions!B:B,MATCH("Years to stability",Assumptions!A:A,0))+1,INDEX(Assumptions!B:B,MATCH("Stable ROE",Assumptions!A:A,0)),Q8/Q11))</f>
      </c>
      <c r="R12" s="25">
        <f>=IF(16&gt;INDEX(Assumptions!B:B,MATCH("Years to stability",Assumptions!A:A,0))+1,"",IF(16=INDEX(Assumptions!B:B,MATCH("Years to stability",Assumptions!A:A,0))+1,INDEX(Assumptions!B:B,MATCH("Stable ROE",Assumptions!A:A,0)),R8/R11))</f>
      </c>
      <c r="S12" s="25">
        <f>=IF(17&gt;INDEX(Assumptions!B:B,MATCH("Years to stability",Assumptions!A:A,0))+1,"",IF(17=INDEX(Assumptions!B:B,MATCH("Years to stability",Assumptions!A:A,0))+1,INDEX(Assumptions!B:B,MATCH("Stable ROE",Assumptions!A:A,0)),S8/S11))</f>
      </c>
      <c r="T12" s="25">
        <f>=IF(18&gt;INDEX(Assumptions!B:B,MATCH("Years to stability",Assumptions!A:A,0))+1,"",IF(18=INDEX(Assumptions!B:B,MATCH("Years to stability",Assumptions!A:A,0))+1,INDEX(Assumptions!B:B,MATCH("Stable ROE",Assumptions!A:A,0)),T8/T11))</f>
      </c>
      <c r="U12" s="25">
        <f>=IF(19&gt;INDEX(Assumptions!B:B,MATCH("Years to stability",Assumptions!A:A,0))+1,"",IF(19=INDEX(Assumptions!B:B,MATCH("Years to stability",Assumptions!A:A,0))+1,INDEX(Assumptions!B:B,MATCH("Stable ROE",Assumptions!A:A,0)),U8/U11))</f>
      </c>
      <c r="V12" s="25">
        <f>=IF(20&gt;INDEX(Assumptions!B:B,MATCH("Years to stability",Assumptions!A:A,0))+1,"",IF(20=INDEX(Assumptions!B:B,MATCH("Years to stability",Assumptions!A:A,0))+1,INDEX(Assumptions!B:B,MATCH("Stable ROE",Assumptions!A:A,0)),V8/V11))</f>
      </c>
      <c r="W12" s="25">
        <f>=IF(21&gt;INDEX(Assumptions!B:B,MATCH("Years to stability",Assumptions!A:A,0))+1,"",IF(21=INDEX(Assumptions!B:B,MATCH("Years to stability",Assumptions!A:A,0))+1,INDEX(Assumptions!B:B,MATCH("Stable ROE",Assumptions!A:A,0)),W8/W11))</f>
      </c>
    </row>
    <row r="13" spans="1:23" x14ac:dyDescent="0.25">
      <c r="A13" s="11" t="s">
        <v>72</v>
      </c>
      <c r="B13" s="26">
        <f>=INDEX(Financials!B:B,MATCH("Sales to Equity Ratio",Financials!A:A,0))</f>
      </c>
      <c r="C13" s="26">
        <f>=IF(1&lt;=INDEX(Assumptions!B:B,MATCH("Years to stability",Assumptions!A:A,0))+1,INDEX(Assumptions!B:B,MATCH("Sales-to-equity ratio",Assumptions!A:A,0)),"")</f>
      </c>
      <c r="D13" s="26">
        <f>=IF(2&lt;=INDEX(Assumptions!B:B,MATCH("Years to stability",Assumptions!A:A,0))+1,INDEX(Assumptions!B:B,MATCH("Sales-to-equity ratio",Assumptions!A:A,0)),"")</f>
      </c>
      <c r="E13" s="26">
        <f>=IF(3&lt;=INDEX(Assumptions!B:B,MATCH("Years to stability",Assumptions!A:A,0))+1,INDEX(Assumptions!B:B,MATCH("Sales-to-equity ratio",Assumptions!A:A,0)),"")</f>
      </c>
      <c r="F13" s="26">
        <f>=IF(4&lt;=INDEX(Assumptions!B:B,MATCH("Years to stability",Assumptions!A:A,0))+1,INDEX(Assumptions!B:B,MATCH("Sales-to-equity ratio",Assumptions!A:A,0)),"")</f>
      </c>
      <c r="G13" s="26">
        <f>=IF(5&lt;=INDEX(Assumptions!B:B,MATCH("Years to stability",Assumptions!A:A,0))+1,INDEX(Assumptions!B:B,MATCH("Sales-to-equity ratio",Assumptions!A:A,0)),"")</f>
      </c>
      <c r="H13" s="26">
        <f>=IF(6&lt;=INDEX(Assumptions!B:B,MATCH("Years to stability",Assumptions!A:A,0))+1,INDEX(Assumptions!B:B,MATCH("Sales-to-equity ratio",Assumptions!A:A,0)),"")</f>
      </c>
      <c r="I13" s="26">
        <f>=IF(7&lt;=INDEX(Assumptions!B:B,MATCH("Years to stability",Assumptions!A:A,0))+1,INDEX(Assumptions!B:B,MATCH("Sales-to-equity ratio",Assumptions!A:A,0)),"")</f>
      </c>
      <c r="J13" s="26">
        <f>=IF(8&lt;=INDEX(Assumptions!B:B,MATCH("Years to stability",Assumptions!A:A,0))+1,INDEX(Assumptions!B:B,MATCH("Sales-to-equity ratio",Assumptions!A:A,0)),"")</f>
      </c>
      <c r="K13" s="26">
        <f>=IF(9&lt;=INDEX(Assumptions!B:B,MATCH("Years to stability",Assumptions!A:A,0))+1,INDEX(Assumptions!B:B,MATCH("Sales-to-equity ratio",Assumptions!A:A,0)),"")</f>
      </c>
      <c r="L13" s="26">
        <f>=IF(10&lt;=INDEX(Assumptions!B:B,MATCH("Years to stability",Assumptions!A:A,0))+1,INDEX(Assumptions!B:B,MATCH("Sales-to-equity ratio",Assumptions!A:A,0)),"")</f>
      </c>
      <c r="M13" s="26">
        <f>=IF(11&lt;=INDEX(Assumptions!B:B,MATCH("Years to stability",Assumptions!A:A,0))+1,INDEX(Assumptions!B:B,MATCH("Sales-to-equity ratio",Assumptions!A:A,0)),"")</f>
      </c>
      <c r="N13" s="26">
        <f>=IF(12&lt;=INDEX(Assumptions!B:B,MATCH("Years to stability",Assumptions!A:A,0))+1,INDEX(Assumptions!B:B,MATCH("Sales-to-equity ratio",Assumptions!A:A,0)),"")</f>
      </c>
      <c r="O13" s="26">
        <f>=IF(13&lt;=INDEX(Assumptions!B:B,MATCH("Years to stability",Assumptions!A:A,0))+1,INDEX(Assumptions!B:B,MATCH("Sales-to-equity ratio",Assumptions!A:A,0)),"")</f>
      </c>
      <c r="P13" s="26">
        <f>=IF(14&lt;=INDEX(Assumptions!B:B,MATCH("Years to stability",Assumptions!A:A,0))+1,INDEX(Assumptions!B:B,MATCH("Sales-to-equity ratio",Assumptions!A:A,0)),"")</f>
      </c>
      <c r="Q13" s="26">
        <f>=IF(15&lt;=INDEX(Assumptions!B:B,MATCH("Years to stability",Assumptions!A:A,0))+1,INDEX(Assumptions!B:B,MATCH("Sales-to-equity ratio",Assumptions!A:A,0)),"")</f>
      </c>
      <c r="R13" s="26">
        <f>=IF(16&lt;=INDEX(Assumptions!B:B,MATCH("Years to stability",Assumptions!A:A,0))+1,INDEX(Assumptions!B:B,MATCH("Sales-to-equity ratio",Assumptions!A:A,0)),"")</f>
      </c>
      <c r="S13" s="26">
        <f>=IF(17&lt;=INDEX(Assumptions!B:B,MATCH("Years to stability",Assumptions!A:A,0))+1,INDEX(Assumptions!B:B,MATCH("Sales-to-equity ratio",Assumptions!A:A,0)),"")</f>
      </c>
      <c r="T13" s="26">
        <f>=IF(18&lt;=INDEX(Assumptions!B:B,MATCH("Years to stability",Assumptions!A:A,0))+1,INDEX(Assumptions!B:B,MATCH("Sales-to-equity ratio",Assumptions!A:A,0)),"")</f>
      </c>
      <c r="U13" s="26">
        <f>=IF(19&lt;=INDEX(Assumptions!B:B,MATCH("Years to stability",Assumptions!A:A,0))+1,INDEX(Assumptions!B:B,MATCH("Sales-to-equity ratio",Assumptions!A:A,0)),"")</f>
      </c>
      <c r="V13" s="26">
        <f>=IF(20&lt;=INDEX(Assumptions!B:B,MATCH("Years to stability",Assumptions!A:A,0))+1,INDEX(Assumptions!B:B,MATCH("Sales-to-equity ratio",Assumptions!A:A,0)),"")</f>
      </c>
      <c r="W13" s="26">
        <f>=IF(21&lt;=INDEX(Assumptions!B:B,MATCH("Years to stability",Assumptions!A:A,0))+1,INDEX(Assumptions!B:B,MATCH("Sales-to-equity ratio",Assumptions!A:A,0)),"")</f>
      </c>
    </row>
    <row r="14" spans="1:23" x14ac:dyDescent="0.25">
      <c r="A14" s="11" t="s">
        <v>73</v>
      </c>
      <c r="B14" s="24">
        <f>=B8-B10</f>
      </c>
      <c r="C14" s="24">
        <f>=IF(1&lt;=INDEX(Assumptions!B:B,MATCH("Years to stability",Assumptions!A:A,0))+1,C8-C10,"")</f>
      </c>
      <c r="D14" s="24">
        <f>=IF(2&lt;=INDEX(Assumptions!B:B,MATCH("Years to stability",Assumptions!A:A,0))+1,D8-D10,"")</f>
      </c>
      <c r="E14" s="24">
        <f>=IF(3&lt;=INDEX(Assumptions!B:B,MATCH("Years to stability",Assumptions!A:A,0))+1,E8-E10,"")</f>
      </c>
      <c r="F14" s="24">
        <f>=IF(4&lt;=INDEX(Assumptions!B:B,MATCH("Years to stability",Assumptions!A:A,0))+1,F8-F10,"")</f>
      </c>
      <c r="G14" s="24">
        <f>=IF(5&lt;=INDEX(Assumptions!B:B,MATCH("Years to stability",Assumptions!A:A,0))+1,G8-G10,"")</f>
      </c>
      <c r="H14" s="24">
        <f>=IF(6&lt;=INDEX(Assumptions!B:B,MATCH("Years to stability",Assumptions!A:A,0))+1,H8-H10,"")</f>
      </c>
      <c r="I14" s="24">
        <f>=IF(7&lt;=INDEX(Assumptions!B:B,MATCH("Years to stability",Assumptions!A:A,0))+1,I8-I10,"")</f>
      </c>
      <c r="J14" s="24">
        <f>=IF(8&lt;=INDEX(Assumptions!B:B,MATCH("Years to stability",Assumptions!A:A,0))+1,J8-J10,"")</f>
      </c>
      <c r="K14" s="24">
        <f>=IF(9&lt;=INDEX(Assumptions!B:B,MATCH("Years to stability",Assumptions!A:A,0))+1,K8-K10,"")</f>
      </c>
      <c r="L14" s="24">
        <f>=IF(10&lt;=INDEX(Assumptions!B:B,MATCH("Years to stability",Assumptions!A:A,0))+1,L8-L10,"")</f>
      </c>
      <c r="M14" s="24">
        <f>=IF(11&lt;=INDEX(Assumptions!B:B,MATCH("Years to stability",Assumptions!A:A,0))+1,M8-M10,"")</f>
      </c>
      <c r="N14" s="24">
        <f>=IF(12&lt;=INDEX(Assumptions!B:B,MATCH("Years to stability",Assumptions!A:A,0))+1,N8-N10,"")</f>
      </c>
      <c r="O14" s="24">
        <f>=IF(13&lt;=INDEX(Assumptions!B:B,MATCH("Years to stability",Assumptions!A:A,0))+1,O8-O10,"")</f>
      </c>
      <c r="P14" s="24">
        <f>=IF(14&lt;=INDEX(Assumptions!B:B,MATCH("Years to stability",Assumptions!A:A,0))+1,P8-P10,"")</f>
      </c>
      <c r="Q14" s="24">
        <f>=IF(15&lt;=INDEX(Assumptions!B:B,MATCH("Years to stability",Assumptions!A:A,0))+1,Q8-Q10,"")</f>
      </c>
      <c r="R14" s="24">
        <f>=IF(16&lt;=INDEX(Assumptions!B:B,MATCH("Years to stability",Assumptions!A:A,0))+1,R8-R10,"")</f>
      </c>
      <c r="S14" s="24">
        <f>=IF(17&lt;=INDEX(Assumptions!B:B,MATCH("Years to stability",Assumptions!A:A,0))+1,S8-S10,"")</f>
      </c>
      <c r="T14" s="24">
        <f>=IF(18&lt;=INDEX(Assumptions!B:B,MATCH("Years to stability",Assumptions!A:A,0))+1,T8-T10,"")</f>
      </c>
      <c r="U14" s="24">
        <f>=IF(19&lt;=INDEX(Assumptions!B:B,MATCH("Years to stability",Assumptions!A:A,0))+1,U8-U10,"")</f>
      </c>
      <c r="V14" s="24">
        <f>=IF(20&lt;=INDEX(Assumptions!B:B,MATCH("Years to stability",Assumptions!A:A,0))+1,V8-V10,"")</f>
      </c>
      <c r="W14" s="24">
        <f>=IF(21&lt;=INDEX(Assumptions!B:B,MATCH("Years to stability",Assumptions!A:A,0))+1,W8-W10,"")</f>
      </c>
    </row>
    <row r="15" spans="1:23" x14ac:dyDescent="0.25">
      <c r="A15" s="11" t="s">
        <v>74</v>
      </c>
      <c r="B15" s="12"/>
      <c r="C15" s="24">
        <f>=IF(1=INDEX(Assumptions!B:B,MATCH("Years to stability",Assumptions!A:A,0))+1,C14/(LOOKUP(2,1/('Cost of equity'!A:A="Stable cost of equity"),'Cost of equity'!B:B)-INDEX(Assumptions!B:B,MATCH("Stable growth rate",Assumptions!A:A,0))),"")</f>
      </c>
      <c r="D15" s="24">
        <f>=IF(2=INDEX(Assumptions!B:B,MATCH("Years to stability",Assumptions!A:A,0))+1,D14/(LOOKUP(2,1/('Cost of equity'!A:A="Stable cost of equity"),'Cost of equity'!B:B)-INDEX(Assumptions!B:B,MATCH("Stable growth rate",Assumptions!A:A,0))),"")</f>
      </c>
      <c r="E15" s="24">
        <f>=IF(3=INDEX(Assumptions!B:B,MATCH("Years to stability",Assumptions!A:A,0))+1,E14/(LOOKUP(2,1/('Cost of equity'!A:A="Stable cost of equity"),'Cost of equity'!B:B)-INDEX(Assumptions!B:B,MATCH("Stable growth rate",Assumptions!A:A,0))),"")</f>
      </c>
      <c r="F15" s="24">
        <f>=IF(4=INDEX(Assumptions!B:B,MATCH("Years to stability",Assumptions!A:A,0))+1,F14/(LOOKUP(2,1/('Cost of equity'!A:A="Stable cost of equity"),'Cost of equity'!B:B)-INDEX(Assumptions!B:B,MATCH("Stable growth rate",Assumptions!A:A,0))),"")</f>
      </c>
      <c r="G15" s="24">
        <f>=IF(5=INDEX(Assumptions!B:B,MATCH("Years to stability",Assumptions!A:A,0))+1,G14/(LOOKUP(2,1/('Cost of equity'!A:A="Stable cost of equity"),'Cost of equity'!B:B)-INDEX(Assumptions!B:B,MATCH("Stable growth rate",Assumptions!A:A,0))),"")</f>
      </c>
      <c r="H15" s="24">
        <f>=IF(6=INDEX(Assumptions!B:B,MATCH("Years to stability",Assumptions!A:A,0))+1,H14/(LOOKUP(2,1/('Cost of equity'!A:A="Stable cost of equity"),'Cost of equity'!B:B)-INDEX(Assumptions!B:B,MATCH("Stable growth rate",Assumptions!A:A,0))),"")</f>
      </c>
      <c r="I15" s="24">
        <f>=IF(7=INDEX(Assumptions!B:B,MATCH("Years to stability",Assumptions!A:A,0))+1,I14/(LOOKUP(2,1/('Cost of equity'!A:A="Stable cost of equity"),'Cost of equity'!B:B)-INDEX(Assumptions!B:B,MATCH("Stable growth rate",Assumptions!A:A,0))),"")</f>
      </c>
      <c r="J15" s="24">
        <f>=IF(8=INDEX(Assumptions!B:B,MATCH("Years to stability",Assumptions!A:A,0))+1,J14/(LOOKUP(2,1/('Cost of equity'!A:A="Stable cost of equity"),'Cost of equity'!B:B)-INDEX(Assumptions!B:B,MATCH("Stable growth rate",Assumptions!A:A,0))),"")</f>
      </c>
      <c r="K15" s="24">
        <f>=IF(9=INDEX(Assumptions!B:B,MATCH("Years to stability",Assumptions!A:A,0))+1,K14/(LOOKUP(2,1/('Cost of equity'!A:A="Stable cost of equity"),'Cost of equity'!B:B)-INDEX(Assumptions!B:B,MATCH("Stable growth rate",Assumptions!A:A,0))),"")</f>
      </c>
      <c r="L15" s="24">
        <f>=IF(10=INDEX(Assumptions!B:B,MATCH("Years to stability",Assumptions!A:A,0))+1,L14/(LOOKUP(2,1/('Cost of equity'!A:A="Stable cost of equity"),'Cost of equity'!B:B)-INDEX(Assumptions!B:B,MATCH("Stable growth rate",Assumptions!A:A,0))),"")</f>
      </c>
      <c r="M15" s="24">
        <f>=IF(11=INDEX(Assumptions!B:B,MATCH("Years to stability",Assumptions!A:A,0))+1,M14/(LOOKUP(2,1/('Cost of equity'!A:A="Stable cost of equity"),'Cost of equity'!B:B)-INDEX(Assumptions!B:B,MATCH("Stable growth rate",Assumptions!A:A,0))),"")</f>
      </c>
      <c r="N15" s="24">
        <f>=IF(12=INDEX(Assumptions!B:B,MATCH("Years to stability",Assumptions!A:A,0))+1,N14/(LOOKUP(2,1/('Cost of equity'!A:A="Stable cost of equity"),'Cost of equity'!B:B)-INDEX(Assumptions!B:B,MATCH("Stable growth rate",Assumptions!A:A,0))),"")</f>
      </c>
      <c r="O15" s="24">
        <f>=IF(13=INDEX(Assumptions!B:B,MATCH("Years to stability",Assumptions!A:A,0))+1,O14/(LOOKUP(2,1/('Cost of equity'!A:A="Stable cost of equity"),'Cost of equity'!B:B)-INDEX(Assumptions!B:B,MATCH("Stable growth rate",Assumptions!A:A,0))),"")</f>
      </c>
      <c r="P15" s="24">
        <f>=IF(14=INDEX(Assumptions!B:B,MATCH("Years to stability",Assumptions!A:A,0))+1,P14/(LOOKUP(2,1/('Cost of equity'!A:A="Stable cost of equity"),'Cost of equity'!B:B)-INDEX(Assumptions!B:B,MATCH("Stable growth rate",Assumptions!A:A,0))),"")</f>
      </c>
      <c r="Q15" s="24">
        <f>=IF(15=INDEX(Assumptions!B:B,MATCH("Years to stability",Assumptions!A:A,0))+1,Q14/(LOOKUP(2,1/('Cost of equity'!A:A="Stable cost of equity"),'Cost of equity'!B:B)-INDEX(Assumptions!B:B,MATCH("Stable growth rate",Assumptions!A:A,0))),"")</f>
      </c>
      <c r="R15" s="24">
        <f>=IF(16=INDEX(Assumptions!B:B,MATCH("Years to stability",Assumptions!A:A,0))+1,R14/(LOOKUP(2,1/('Cost of equity'!A:A="Stable cost of equity"),'Cost of equity'!B:B)-INDEX(Assumptions!B:B,MATCH("Stable growth rate",Assumptions!A:A,0))),"")</f>
      </c>
      <c r="S15" s="24">
        <f>=IF(17=INDEX(Assumptions!B:B,MATCH("Years to stability",Assumptions!A:A,0))+1,S14/(LOOKUP(2,1/('Cost of equity'!A:A="Stable cost of equity"),'Cost of equity'!B:B)-INDEX(Assumptions!B:B,MATCH("Stable growth rate",Assumptions!A:A,0))),"")</f>
      </c>
      <c r="T15" s="24">
        <f>=IF(18=INDEX(Assumptions!B:B,MATCH("Years to stability",Assumptions!A:A,0))+1,T14/(LOOKUP(2,1/('Cost of equity'!A:A="Stable cost of equity"),'Cost of equity'!B:B)-INDEX(Assumptions!B:B,MATCH("Stable growth rate",Assumptions!A:A,0))),"")</f>
      </c>
      <c r="U15" s="24">
        <f>=IF(19=INDEX(Assumptions!B:B,MATCH("Years to stability",Assumptions!A:A,0))+1,U14/(LOOKUP(2,1/('Cost of equity'!A:A="Stable cost of equity"),'Cost of equity'!B:B)-INDEX(Assumptions!B:B,MATCH("Stable growth rate",Assumptions!A:A,0))),"")</f>
      </c>
      <c r="V15" s="24">
        <f>=IF(20=INDEX(Assumptions!B:B,MATCH("Years to stability",Assumptions!A:A,0))+1,V14/(LOOKUP(2,1/('Cost of equity'!A:A="Stable cost of equity"),'Cost of equity'!B:B)-INDEX(Assumptions!B:B,MATCH("Stable growth rate",Assumptions!A:A,0))),"")</f>
      </c>
      <c r="W15" s="24">
        <f>=IF(21=INDEX(Assumptions!B:B,MATCH("Years to stability",Assumptions!A:A,0))+1,W14/(LOOKUP(2,1/('Cost of equity'!A:A="Stable cost of equity"),'Cost of equity'!B:B)-INDEX(Assumptions!B:B,MATCH("Stable growth rate",Assumptions!A:A,0))),"")</f>
      </c>
    </row>
    <row r="16" spans="1:23" x14ac:dyDescent="0.25">
      <c r="A16" s="11" t="s">
        <v>75</v>
      </c>
      <c r="B16" s="12"/>
      <c r="C16" s="24">
        <f>=IF(1&gt;INDEX(Assumptions!B:B,MATCH("Years to stability",Assumptions!A:A,0))+1,"",IF(1=INDEX(Assumptions!B:B,MATCH("Years to stability",Assumptions!A:A,0))+1,C15,C14))</f>
      </c>
      <c r="D16" s="24">
        <f>=IF(2&gt;INDEX(Assumptions!B:B,MATCH("Years to stability",Assumptions!A:A,0))+1,"",IF(2=INDEX(Assumptions!B:B,MATCH("Years to stability",Assumptions!A:A,0))+1,D15,D14))</f>
      </c>
      <c r="E16" s="24">
        <f>=IF(3&gt;INDEX(Assumptions!B:B,MATCH("Years to stability",Assumptions!A:A,0))+1,"",IF(3=INDEX(Assumptions!B:B,MATCH("Years to stability",Assumptions!A:A,0))+1,E15,E14))</f>
      </c>
      <c r="F16" s="24">
        <f>=IF(4&gt;INDEX(Assumptions!B:B,MATCH("Years to stability",Assumptions!A:A,0))+1,"",IF(4=INDEX(Assumptions!B:B,MATCH("Years to stability",Assumptions!A:A,0))+1,F15,F14))</f>
      </c>
      <c r="G16" s="24">
        <f>=IF(5&gt;INDEX(Assumptions!B:B,MATCH("Years to stability",Assumptions!A:A,0))+1,"",IF(5=INDEX(Assumptions!B:B,MATCH("Years to stability",Assumptions!A:A,0))+1,G15,G14))</f>
      </c>
      <c r="H16" s="24">
        <f>=IF(6&gt;INDEX(Assumptions!B:B,MATCH("Years to stability",Assumptions!A:A,0))+1,"",IF(6=INDEX(Assumptions!B:B,MATCH("Years to stability",Assumptions!A:A,0))+1,H15,H14))</f>
      </c>
      <c r="I16" s="24">
        <f>=IF(7&gt;INDEX(Assumptions!B:B,MATCH("Years to stability",Assumptions!A:A,0))+1,"",IF(7=INDEX(Assumptions!B:B,MATCH("Years to stability",Assumptions!A:A,0))+1,I15,I14))</f>
      </c>
      <c r="J16" s="24">
        <f>=IF(8&gt;INDEX(Assumptions!B:B,MATCH("Years to stability",Assumptions!A:A,0))+1,"",IF(8=INDEX(Assumptions!B:B,MATCH("Years to stability",Assumptions!A:A,0))+1,J15,J14))</f>
      </c>
      <c r="K16" s="24">
        <f>=IF(9&gt;INDEX(Assumptions!B:B,MATCH("Years to stability",Assumptions!A:A,0))+1,"",IF(9=INDEX(Assumptions!B:B,MATCH("Years to stability",Assumptions!A:A,0))+1,K15,K14))</f>
      </c>
      <c r="L16" s="24">
        <f>=IF(10&gt;INDEX(Assumptions!B:B,MATCH("Years to stability",Assumptions!A:A,0))+1,"",IF(10=INDEX(Assumptions!B:B,MATCH("Years to stability",Assumptions!A:A,0))+1,L15,L14))</f>
      </c>
      <c r="M16" s="24">
        <f>=IF(11&gt;INDEX(Assumptions!B:B,MATCH("Years to stability",Assumptions!A:A,0))+1,"",IF(11=INDEX(Assumptions!B:B,MATCH("Years to stability",Assumptions!A:A,0))+1,M15,M14))</f>
      </c>
      <c r="N16" s="24">
        <f>=IF(12&gt;INDEX(Assumptions!B:B,MATCH("Years to stability",Assumptions!A:A,0))+1,"",IF(12=INDEX(Assumptions!B:B,MATCH("Years to stability",Assumptions!A:A,0))+1,N15,N14))</f>
      </c>
      <c r="O16" s="24">
        <f>=IF(13&gt;INDEX(Assumptions!B:B,MATCH("Years to stability",Assumptions!A:A,0))+1,"",IF(13=INDEX(Assumptions!B:B,MATCH("Years to stability",Assumptions!A:A,0))+1,O15,O14))</f>
      </c>
      <c r="P16" s="24">
        <f>=IF(14&gt;INDEX(Assumptions!B:B,MATCH("Years to stability",Assumptions!A:A,0))+1,"",IF(14=INDEX(Assumptions!B:B,MATCH("Years to stability",Assumptions!A:A,0))+1,P15,P14))</f>
      </c>
      <c r="Q16" s="24">
        <f>=IF(15&gt;INDEX(Assumptions!B:B,MATCH("Years to stability",Assumptions!A:A,0))+1,"",IF(15=INDEX(Assumptions!B:B,MATCH("Years to stability",Assumptions!A:A,0))+1,Q15,Q14))</f>
      </c>
      <c r="R16" s="24">
        <f>=IF(16&gt;INDEX(Assumptions!B:B,MATCH("Years to stability",Assumptions!A:A,0))+1,"",IF(16=INDEX(Assumptions!B:B,MATCH("Years to stability",Assumptions!A:A,0))+1,R15,R14))</f>
      </c>
      <c r="S16" s="24">
        <f>=IF(17&gt;INDEX(Assumptions!B:B,MATCH("Years to stability",Assumptions!A:A,0))+1,"",IF(17=INDEX(Assumptions!B:B,MATCH("Years to stability",Assumptions!A:A,0))+1,S15,S14))</f>
      </c>
      <c r="T16" s="24">
        <f>=IF(18&gt;INDEX(Assumptions!B:B,MATCH("Years to stability",Assumptions!A:A,0))+1,"",IF(18=INDEX(Assumptions!B:B,MATCH("Years to stability",Assumptions!A:A,0))+1,T15,T14))</f>
      </c>
      <c r="U16" s="24">
        <f>=IF(19&gt;INDEX(Assumptions!B:B,MATCH("Years to stability",Assumptions!A:A,0))+1,"",IF(19=INDEX(Assumptions!B:B,MATCH("Years to stability",Assumptions!A:A,0))+1,U15,U14))</f>
      </c>
      <c r="V16" s="24">
        <f>=IF(20&gt;INDEX(Assumptions!B:B,MATCH("Years to stability",Assumptions!A:A,0))+1,"",IF(20=INDEX(Assumptions!B:B,MATCH("Years to stability",Assumptions!A:A,0))+1,V15,V14))</f>
      </c>
      <c r="W16" s="24">
        <f>=IF(21&gt;INDEX(Assumptions!B:B,MATCH("Years to stability",Assumptions!A:A,0))+1,"",IF(21=INDEX(Assumptions!B:B,MATCH("Years to stability",Assumptions!A:A,0))+1,W15,W14))</f>
      </c>
    </row>
    <row r="17" spans="1:23" x14ac:dyDescent="0.25">
      <c r="A17" s="11" t="s">
        <v>76</v>
      </c>
      <c r="B17" s="12"/>
      <c r="C17" s="27">
        <f>=IF(1&lt;=INDEX(Assumptions!B:B,MATCH("Years to stability",Assumptions!A:A,0))+1,(1+C18)^-MAX(0,(INDEX(Summary!B:B,MATCH("Latest financials date",Summary!A:A,0))+365-INDEX(Summary!B:B,MATCH("Valuation date",Summary!A:A,0)))/365),"")</f>
      </c>
      <c r="D17" s="27">
        <f>=IF(2&lt;=INDEX(Assumptions!B:B,MATCH("Years to stability",Assumptions!A:A,0))+1,IF(2=INDEX(Assumptions!B:B,MATCH("Years to stability",Assumptions!A:A,0))+1,C17,C17/(1+D18)),"")</f>
      </c>
      <c r="E17" s="27">
        <f>=IF(3&lt;=INDEX(Assumptions!B:B,MATCH("Years to stability",Assumptions!A:A,0))+1,IF(3=INDEX(Assumptions!B:B,MATCH("Years to stability",Assumptions!A:A,0))+1,D17,D17/(1+E18)),"")</f>
      </c>
      <c r="F17" s="27">
        <f>=IF(4&lt;=INDEX(Assumptions!B:B,MATCH("Years to stability",Assumptions!A:A,0))+1,IF(4=INDEX(Assumptions!B:B,MATCH("Years to stability",Assumptions!A:A,0))+1,E17,E17/(1+F18)),"")</f>
      </c>
      <c r="G17" s="27">
        <f>=IF(5&lt;=INDEX(Assumptions!B:B,MATCH("Years to stability",Assumptions!A:A,0))+1,IF(5=INDEX(Assumptions!B:B,MATCH("Years to stability",Assumptions!A:A,0))+1,F17,F17/(1+G18)),"")</f>
      </c>
      <c r="H17" s="27">
        <f>=IF(6&lt;=INDEX(Assumptions!B:B,MATCH("Years to stability",Assumptions!A:A,0))+1,IF(6=INDEX(Assumptions!B:B,MATCH("Years to stability",Assumptions!A:A,0))+1,G17,G17/(1+H18)),"")</f>
      </c>
      <c r="I17" s="27">
        <f>=IF(7&lt;=INDEX(Assumptions!B:B,MATCH("Years to stability",Assumptions!A:A,0))+1,IF(7=INDEX(Assumptions!B:B,MATCH("Years to stability",Assumptions!A:A,0))+1,H17,H17/(1+I18)),"")</f>
      </c>
      <c r="J17" s="27">
        <f>=IF(8&lt;=INDEX(Assumptions!B:B,MATCH("Years to stability",Assumptions!A:A,0))+1,IF(8=INDEX(Assumptions!B:B,MATCH("Years to stability",Assumptions!A:A,0))+1,I17,I17/(1+J18)),"")</f>
      </c>
      <c r="K17" s="27">
        <f>=IF(9&lt;=INDEX(Assumptions!B:B,MATCH("Years to stability",Assumptions!A:A,0))+1,IF(9=INDEX(Assumptions!B:B,MATCH("Years to stability",Assumptions!A:A,0))+1,J17,J17/(1+K18)),"")</f>
      </c>
      <c r="L17" s="27">
        <f>=IF(10&lt;=INDEX(Assumptions!B:B,MATCH("Years to stability",Assumptions!A:A,0))+1,IF(10=INDEX(Assumptions!B:B,MATCH("Years to stability",Assumptions!A:A,0))+1,K17,K17/(1+L18)),"")</f>
      </c>
      <c r="M17" s="27">
        <f>=IF(11&lt;=INDEX(Assumptions!B:B,MATCH("Years to stability",Assumptions!A:A,0))+1,IF(11=INDEX(Assumptions!B:B,MATCH("Years to stability",Assumptions!A:A,0))+1,L17,L17/(1+M18)),"")</f>
      </c>
      <c r="N17" s="27">
        <f>=IF(12&lt;=INDEX(Assumptions!B:B,MATCH("Years to stability",Assumptions!A:A,0))+1,IF(12=INDEX(Assumptions!B:B,MATCH("Years to stability",Assumptions!A:A,0))+1,M17,M17/(1+N18)),"")</f>
      </c>
      <c r="O17" s="27">
        <f>=IF(13&lt;=INDEX(Assumptions!B:B,MATCH("Years to stability",Assumptions!A:A,0))+1,IF(13=INDEX(Assumptions!B:B,MATCH("Years to stability",Assumptions!A:A,0))+1,N17,N17/(1+O18)),"")</f>
      </c>
      <c r="P17" s="27">
        <f>=IF(14&lt;=INDEX(Assumptions!B:B,MATCH("Years to stability",Assumptions!A:A,0))+1,IF(14=INDEX(Assumptions!B:B,MATCH("Years to stability",Assumptions!A:A,0))+1,O17,O17/(1+P18)),"")</f>
      </c>
      <c r="Q17" s="27">
        <f>=IF(15&lt;=INDEX(Assumptions!B:B,MATCH("Years to stability",Assumptions!A:A,0))+1,IF(15=INDEX(Assumptions!B:B,MATCH("Years to stability",Assumptions!A:A,0))+1,P17,P17/(1+Q18)),"")</f>
      </c>
      <c r="R17" s="27">
        <f>=IF(16&lt;=INDEX(Assumptions!B:B,MATCH("Years to stability",Assumptions!A:A,0))+1,IF(16=INDEX(Assumptions!B:B,MATCH("Years to stability",Assumptions!A:A,0))+1,Q17,Q17/(1+R18)),"")</f>
      </c>
      <c r="S17" s="27">
        <f>=IF(17&lt;=INDEX(Assumptions!B:B,MATCH("Years to stability",Assumptions!A:A,0))+1,IF(17=INDEX(Assumptions!B:B,MATCH("Years to stability",Assumptions!A:A,0))+1,R17,R17/(1+S18)),"")</f>
      </c>
      <c r="T17" s="27">
        <f>=IF(18&lt;=INDEX(Assumptions!B:B,MATCH("Years to stability",Assumptions!A:A,0))+1,IF(18=INDEX(Assumptions!B:B,MATCH("Years to stability",Assumptions!A:A,0))+1,S17,S17/(1+T18)),"")</f>
      </c>
      <c r="U17" s="27">
        <f>=IF(19&lt;=INDEX(Assumptions!B:B,MATCH("Years to stability",Assumptions!A:A,0))+1,IF(19=INDEX(Assumptions!B:B,MATCH("Years to stability",Assumptions!A:A,0))+1,T17,T17/(1+U18)),"")</f>
      </c>
      <c r="V17" s="27">
        <f>=IF(20&lt;=INDEX(Assumptions!B:B,MATCH("Years to stability",Assumptions!A:A,0))+1,IF(20=INDEX(Assumptions!B:B,MATCH("Years to stability",Assumptions!A:A,0))+1,U17,U17/(1+V18)),"")</f>
      </c>
      <c r="W17" s="27">
        <f>=IF(21&lt;=INDEX(Assumptions!B:B,MATCH("Years to stability",Assumptions!A:A,0))+1,IF(21=INDEX(Assumptions!B:B,MATCH("Years to stability",Assumptions!A:A,0))+1,V17,V17/(1+W18)),"")</f>
      </c>
    </row>
    <row r="18" spans="1:23" x14ac:dyDescent="0.25">
      <c r="A18" s="11" t="s">
        <v>77</v>
      </c>
      <c r="B18" s="12"/>
      <c r="C18" s="25">
        <f>=IF(1&lt;=INDEX(Assumptions!B:B,MATCH("Years to stability",Assumptions!A:A,0))+1,LOOKUP(2,1/('Cost of equity'!A:A="Cost of equity"),'Cost of equity'!B:B)+((MIN(1-1,INDEX(Assumptions!B:B,MATCH("Years to stability",Assumptions!A:A,0))-1))/(INDEX(Assumptions!B:B,MATCH("Years to stability",Assumptions!A:A,0))-1))*(LOOKUP(2,1/('Cost of equity'!A:A="Stable cost of equity"),'Cost of equity'!B:B)-LOOKUP(2,1/('Cost of equity'!A:A="Cost of equity"),'Cost of equity'!B:B)),"")</f>
      </c>
      <c r="D18" s="25">
        <f>=IF(2&lt;=INDEX(Assumptions!B:B,MATCH("Years to stability",Assumptions!A:A,0))+1,LOOKUP(2,1/('Cost of equity'!A:A="Cost of equity"),'Cost of equity'!B:B)+((MIN(2-1,INDEX(Assumptions!B:B,MATCH("Years to stability",Assumptions!A:A,0))-1))/(INDEX(Assumptions!B:B,MATCH("Years to stability",Assumptions!A:A,0))-1))*(LOOKUP(2,1/('Cost of equity'!A:A="Stable cost of equity"),'Cost of equity'!B:B)-LOOKUP(2,1/('Cost of equity'!A:A="Cost of equity"),'Cost of equity'!B:B)),"")</f>
      </c>
      <c r="E18" s="25">
        <f>=IF(3&lt;=INDEX(Assumptions!B:B,MATCH("Years to stability",Assumptions!A:A,0))+1,LOOKUP(2,1/('Cost of equity'!A:A="Cost of equity"),'Cost of equity'!B:B)+((MIN(3-1,INDEX(Assumptions!B:B,MATCH("Years to stability",Assumptions!A:A,0))-1))/(INDEX(Assumptions!B:B,MATCH("Years to stability",Assumptions!A:A,0))-1))*(LOOKUP(2,1/('Cost of equity'!A:A="Stable cost of equity"),'Cost of equity'!B:B)-LOOKUP(2,1/('Cost of equity'!A:A="Cost of equity"),'Cost of equity'!B:B)),"")</f>
      </c>
      <c r="F18" s="25">
        <f>=IF(4&lt;=INDEX(Assumptions!B:B,MATCH("Years to stability",Assumptions!A:A,0))+1,LOOKUP(2,1/('Cost of equity'!A:A="Cost of equity"),'Cost of equity'!B:B)+((MIN(4-1,INDEX(Assumptions!B:B,MATCH("Years to stability",Assumptions!A:A,0))-1))/(INDEX(Assumptions!B:B,MATCH("Years to stability",Assumptions!A:A,0))-1))*(LOOKUP(2,1/('Cost of equity'!A:A="Stable cost of equity"),'Cost of equity'!B:B)-LOOKUP(2,1/('Cost of equity'!A:A="Cost of equity"),'Cost of equity'!B:B)),"")</f>
      </c>
      <c r="G18" s="25">
        <f>=IF(5&lt;=INDEX(Assumptions!B:B,MATCH("Years to stability",Assumptions!A:A,0))+1,LOOKUP(2,1/('Cost of equity'!A:A="Cost of equity"),'Cost of equity'!B:B)+((MIN(5-1,INDEX(Assumptions!B:B,MATCH("Years to stability",Assumptions!A:A,0))-1))/(INDEX(Assumptions!B:B,MATCH("Years to stability",Assumptions!A:A,0))-1))*(LOOKUP(2,1/('Cost of equity'!A:A="Stable cost of equity"),'Cost of equity'!B:B)-LOOKUP(2,1/('Cost of equity'!A:A="Cost of equity"),'Cost of equity'!B:B)),"")</f>
      </c>
      <c r="H18" s="25">
        <f>=IF(6&lt;=INDEX(Assumptions!B:B,MATCH("Years to stability",Assumptions!A:A,0))+1,LOOKUP(2,1/('Cost of equity'!A:A="Cost of equity"),'Cost of equity'!B:B)+((MIN(6-1,INDEX(Assumptions!B:B,MATCH("Years to stability",Assumptions!A:A,0))-1))/(INDEX(Assumptions!B:B,MATCH("Years to stability",Assumptions!A:A,0))-1))*(LOOKUP(2,1/('Cost of equity'!A:A="Stable cost of equity"),'Cost of equity'!B:B)-LOOKUP(2,1/('Cost of equity'!A:A="Cost of equity"),'Cost of equity'!B:B)),"")</f>
      </c>
      <c r="I18" s="25">
        <f>=IF(7&lt;=INDEX(Assumptions!B:B,MATCH("Years to stability",Assumptions!A:A,0))+1,LOOKUP(2,1/('Cost of equity'!A:A="Cost of equity"),'Cost of equity'!B:B)+((MIN(7-1,INDEX(Assumptions!B:B,MATCH("Years to stability",Assumptions!A:A,0))-1))/(INDEX(Assumptions!B:B,MATCH("Years to stability",Assumptions!A:A,0))-1))*(LOOKUP(2,1/('Cost of equity'!A:A="Stable cost of equity"),'Cost of equity'!B:B)-LOOKUP(2,1/('Cost of equity'!A:A="Cost of equity"),'Cost of equity'!B:B)),"")</f>
      </c>
      <c r="J18" s="25">
        <f>=IF(8&lt;=INDEX(Assumptions!B:B,MATCH("Years to stability",Assumptions!A:A,0))+1,LOOKUP(2,1/('Cost of equity'!A:A="Cost of equity"),'Cost of equity'!B:B)+((MIN(8-1,INDEX(Assumptions!B:B,MATCH("Years to stability",Assumptions!A:A,0))-1))/(INDEX(Assumptions!B:B,MATCH("Years to stability",Assumptions!A:A,0))-1))*(LOOKUP(2,1/('Cost of equity'!A:A="Stable cost of equity"),'Cost of equity'!B:B)-LOOKUP(2,1/('Cost of equity'!A:A="Cost of equity"),'Cost of equity'!B:B)),"")</f>
      </c>
      <c r="K18" s="25">
        <f>=IF(9&lt;=INDEX(Assumptions!B:B,MATCH("Years to stability",Assumptions!A:A,0))+1,LOOKUP(2,1/('Cost of equity'!A:A="Cost of equity"),'Cost of equity'!B:B)+((MIN(9-1,INDEX(Assumptions!B:B,MATCH("Years to stability",Assumptions!A:A,0))-1))/(INDEX(Assumptions!B:B,MATCH("Years to stability",Assumptions!A:A,0))-1))*(LOOKUP(2,1/('Cost of equity'!A:A="Stable cost of equity"),'Cost of equity'!B:B)-LOOKUP(2,1/('Cost of equity'!A:A="Cost of equity"),'Cost of equity'!B:B)),"")</f>
      </c>
      <c r="L18" s="25">
        <f>=IF(10&lt;=INDEX(Assumptions!B:B,MATCH("Years to stability",Assumptions!A:A,0))+1,LOOKUP(2,1/('Cost of equity'!A:A="Cost of equity"),'Cost of equity'!B:B)+((MIN(10-1,INDEX(Assumptions!B:B,MATCH("Years to stability",Assumptions!A:A,0))-1))/(INDEX(Assumptions!B:B,MATCH("Years to stability",Assumptions!A:A,0))-1))*(LOOKUP(2,1/('Cost of equity'!A:A="Stable cost of equity"),'Cost of equity'!B:B)-LOOKUP(2,1/('Cost of equity'!A:A="Cost of equity"),'Cost of equity'!B:B)),"")</f>
      </c>
      <c r="M18" s="25">
        <f>=IF(11&lt;=INDEX(Assumptions!B:B,MATCH("Years to stability",Assumptions!A:A,0))+1,LOOKUP(2,1/('Cost of equity'!A:A="Cost of equity"),'Cost of equity'!B:B)+((MIN(11-1,INDEX(Assumptions!B:B,MATCH("Years to stability",Assumptions!A:A,0))-1))/(INDEX(Assumptions!B:B,MATCH("Years to stability",Assumptions!A:A,0))-1))*(LOOKUP(2,1/('Cost of equity'!A:A="Stable cost of equity"),'Cost of equity'!B:B)-LOOKUP(2,1/('Cost of equity'!A:A="Cost of equity"),'Cost of equity'!B:B)),"")</f>
      </c>
      <c r="N18" s="25">
        <f>=IF(12&lt;=INDEX(Assumptions!B:B,MATCH("Years to stability",Assumptions!A:A,0))+1,LOOKUP(2,1/('Cost of equity'!A:A="Cost of equity"),'Cost of equity'!B:B)+((MIN(12-1,INDEX(Assumptions!B:B,MATCH("Years to stability",Assumptions!A:A,0))-1))/(INDEX(Assumptions!B:B,MATCH("Years to stability",Assumptions!A:A,0))-1))*(LOOKUP(2,1/('Cost of equity'!A:A="Stable cost of equity"),'Cost of equity'!B:B)-LOOKUP(2,1/('Cost of equity'!A:A="Cost of equity"),'Cost of equity'!B:B)),"")</f>
      </c>
      <c r="O18" s="25">
        <f>=IF(13&lt;=INDEX(Assumptions!B:B,MATCH("Years to stability",Assumptions!A:A,0))+1,LOOKUP(2,1/('Cost of equity'!A:A="Cost of equity"),'Cost of equity'!B:B)+((MIN(13-1,INDEX(Assumptions!B:B,MATCH("Years to stability",Assumptions!A:A,0))-1))/(INDEX(Assumptions!B:B,MATCH("Years to stability",Assumptions!A:A,0))-1))*(LOOKUP(2,1/('Cost of equity'!A:A="Stable cost of equity"),'Cost of equity'!B:B)-LOOKUP(2,1/('Cost of equity'!A:A="Cost of equity"),'Cost of equity'!B:B)),"")</f>
      </c>
      <c r="P18" s="25">
        <f>=IF(14&lt;=INDEX(Assumptions!B:B,MATCH("Years to stability",Assumptions!A:A,0))+1,LOOKUP(2,1/('Cost of equity'!A:A="Cost of equity"),'Cost of equity'!B:B)+((MIN(14-1,INDEX(Assumptions!B:B,MATCH("Years to stability",Assumptions!A:A,0))-1))/(INDEX(Assumptions!B:B,MATCH("Years to stability",Assumptions!A:A,0))-1))*(LOOKUP(2,1/('Cost of equity'!A:A="Stable cost of equity"),'Cost of equity'!B:B)-LOOKUP(2,1/('Cost of equity'!A:A="Cost of equity"),'Cost of equity'!B:B)),"")</f>
      </c>
      <c r="Q18" s="25">
        <f>=IF(15&lt;=INDEX(Assumptions!B:B,MATCH("Years to stability",Assumptions!A:A,0))+1,LOOKUP(2,1/('Cost of equity'!A:A="Cost of equity"),'Cost of equity'!B:B)+((MIN(15-1,INDEX(Assumptions!B:B,MATCH("Years to stability",Assumptions!A:A,0))-1))/(INDEX(Assumptions!B:B,MATCH("Years to stability",Assumptions!A:A,0))-1))*(LOOKUP(2,1/('Cost of equity'!A:A="Stable cost of equity"),'Cost of equity'!B:B)-LOOKUP(2,1/('Cost of equity'!A:A="Cost of equity"),'Cost of equity'!B:B)),"")</f>
      </c>
      <c r="R18" s="25">
        <f>=IF(16&lt;=INDEX(Assumptions!B:B,MATCH("Years to stability",Assumptions!A:A,0))+1,LOOKUP(2,1/('Cost of equity'!A:A="Cost of equity"),'Cost of equity'!B:B)+((MIN(16-1,INDEX(Assumptions!B:B,MATCH("Years to stability",Assumptions!A:A,0))-1))/(INDEX(Assumptions!B:B,MATCH("Years to stability",Assumptions!A:A,0))-1))*(LOOKUP(2,1/('Cost of equity'!A:A="Stable cost of equity"),'Cost of equity'!B:B)-LOOKUP(2,1/('Cost of equity'!A:A="Cost of equity"),'Cost of equity'!B:B)),"")</f>
      </c>
      <c r="S18" s="25">
        <f>=IF(17&lt;=INDEX(Assumptions!B:B,MATCH("Years to stability",Assumptions!A:A,0))+1,LOOKUP(2,1/('Cost of equity'!A:A="Cost of equity"),'Cost of equity'!B:B)+((MIN(17-1,INDEX(Assumptions!B:B,MATCH("Years to stability",Assumptions!A:A,0))-1))/(INDEX(Assumptions!B:B,MATCH("Years to stability",Assumptions!A:A,0))-1))*(LOOKUP(2,1/('Cost of equity'!A:A="Stable cost of equity"),'Cost of equity'!B:B)-LOOKUP(2,1/('Cost of equity'!A:A="Cost of equity"),'Cost of equity'!B:B)),"")</f>
      </c>
      <c r="T18" s="25">
        <f>=IF(18&lt;=INDEX(Assumptions!B:B,MATCH("Years to stability",Assumptions!A:A,0))+1,LOOKUP(2,1/('Cost of equity'!A:A="Cost of equity"),'Cost of equity'!B:B)+((MIN(18-1,INDEX(Assumptions!B:B,MATCH("Years to stability",Assumptions!A:A,0))-1))/(INDEX(Assumptions!B:B,MATCH("Years to stability",Assumptions!A:A,0))-1))*(LOOKUP(2,1/('Cost of equity'!A:A="Stable cost of equity"),'Cost of equity'!B:B)-LOOKUP(2,1/('Cost of equity'!A:A="Cost of equity"),'Cost of equity'!B:B)),"")</f>
      </c>
      <c r="U18" s="25">
        <f>=IF(19&lt;=INDEX(Assumptions!B:B,MATCH("Years to stability",Assumptions!A:A,0))+1,LOOKUP(2,1/('Cost of equity'!A:A="Cost of equity"),'Cost of equity'!B:B)+((MIN(19-1,INDEX(Assumptions!B:B,MATCH("Years to stability",Assumptions!A:A,0))-1))/(INDEX(Assumptions!B:B,MATCH("Years to stability",Assumptions!A:A,0))-1))*(LOOKUP(2,1/('Cost of equity'!A:A="Stable cost of equity"),'Cost of equity'!B:B)-LOOKUP(2,1/('Cost of equity'!A:A="Cost of equity"),'Cost of equity'!B:B)),"")</f>
      </c>
      <c r="V18" s="25">
        <f>=IF(20&lt;=INDEX(Assumptions!B:B,MATCH("Years to stability",Assumptions!A:A,0))+1,LOOKUP(2,1/('Cost of equity'!A:A="Cost of equity"),'Cost of equity'!B:B)+((MIN(20-1,INDEX(Assumptions!B:B,MATCH("Years to stability",Assumptions!A:A,0))-1))/(INDEX(Assumptions!B:B,MATCH("Years to stability",Assumptions!A:A,0))-1))*(LOOKUP(2,1/('Cost of equity'!A:A="Stable cost of equity"),'Cost of equity'!B:B)-LOOKUP(2,1/('Cost of equity'!A:A="Cost of equity"),'Cost of equity'!B:B)),"")</f>
      </c>
      <c r="W18" s="25">
        <f>=IF(21&lt;=INDEX(Assumptions!B:B,MATCH("Years to stability",Assumptions!A:A,0))+1,LOOKUP(2,1/('Cost of equity'!A:A="Cost of equity"),'Cost of equity'!B:B)+((MIN(21-1,INDEX(Assumptions!B:B,MATCH("Years to stability",Assumptions!A:A,0))-1))/(INDEX(Assumptions!B:B,MATCH("Years to stability",Assumptions!A:A,0))-1))*(LOOKUP(2,1/('Cost of equity'!A:A="Stable cost of equity"),'Cost of equity'!B:B)-LOOKUP(2,1/('Cost of equity'!A:A="Cost of equity"),'Cost of equity'!B:B)),"")</f>
      </c>
    </row>
    <row r="19" spans="1:23" x14ac:dyDescent="0.25">
      <c r="A19" s="11" t="s">
        <v>78</v>
      </c>
      <c r="B19" s="12"/>
      <c r="C19" s="24">
        <f>=IF(1&lt;=INDEX(Assumptions!B:B,MATCH("Years to stability",Assumptions!A:A,0))+1,C16*C17,"")</f>
      </c>
      <c r="D19" s="24">
        <f>=IF(2&lt;=INDEX(Assumptions!B:B,MATCH("Years to stability",Assumptions!A:A,0))+1,D16*D17,"")</f>
      </c>
      <c r="E19" s="24">
        <f>=IF(3&lt;=INDEX(Assumptions!B:B,MATCH("Years to stability",Assumptions!A:A,0))+1,E16*E17,"")</f>
      </c>
      <c r="F19" s="24">
        <f>=IF(4&lt;=INDEX(Assumptions!B:B,MATCH("Years to stability",Assumptions!A:A,0))+1,F16*F17,"")</f>
      </c>
      <c r="G19" s="24">
        <f>=IF(5&lt;=INDEX(Assumptions!B:B,MATCH("Years to stability",Assumptions!A:A,0))+1,G16*G17,"")</f>
      </c>
      <c r="H19" s="24">
        <f>=IF(6&lt;=INDEX(Assumptions!B:B,MATCH("Years to stability",Assumptions!A:A,0))+1,H16*H17,"")</f>
      </c>
      <c r="I19" s="24">
        <f>=IF(7&lt;=INDEX(Assumptions!B:B,MATCH("Years to stability",Assumptions!A:A,0))+1,I16*I17,"")</f>
      </c>
      <c r="J19" s="24">
        <f>=IF(8&lt;=INDEX(Assumptions!B:B,MATCH("Years to stability",Assumptions!A:A,0))+1,J16*J17,"")</f>
      </c>
      <c r="K19" s="24">
        <f>=IF(9&lt;=INDEX(Assumptions!B:B,MATCH("Years to stability",Assumptions!A:A,0))+1,K16*K17,"")</f>
      </c>
      <c r="L19" s="24">
        <f>=IF(10&lt;=INDEX(Assumptions!B:B,MATCH("Years to stability",Assumptions!A:A,0))+1,L16*L17,"")</f>
      </c>
      <c r="M19" s="24">
        <f>=IF(11&lt;=INDEX(Assumptions!B:B,MATCH("Years to stability",Assumptions!A:A,0))+1,M16*M17,"")</f>
      </c>
      <c r="N19" s="24">
        <f>=IF(12&lt;=INDEX(Assumptions!B:B,MATCH("Years to stability",Assumptions!A:A,0))+1,N16*N17,"")</f>
      </c>
      <c r="O19" s="24">
        <f>=IF(13&lt;=INDEX(Assumptions!B:B,MATCH("Years to stability",Assumptions!A:A,0))+1,O16*O17,"")</f>
      </c>
      <c r="P19" s="24">
        <f>=IF(14&lt;=INDEX(Assumptions!B:B,MATCH("Years to stability",Assumptions!A:A,0))+1,P16*P17,"")</f>
      </c>
      <c r="Q19" s="24">
        <f>=IF(15&lt;=INDEX(Assumptions!B:B,MATCH("Years to stability",Assumptions!A:A,0))+1,Q16*Q17,"")</f>
      </c>
      <c r="R19" s="24">
        <f>=IF(16&lt;=INDEX(Assumptions!B:B,MATCH("Years to stability",Assumptions!A:A,0))+1,R16*R17,"")</f>
      </c>
      <c r="S19" s="24">
        <f>=IF(17&lt;=INDEX(Assumptions!B:B,MATCH("Years to stability",Assumptions!A:A,0))+1,S16*S17,"")</f>
      </c>
      <c r="T19" s="24">
        <f>=IF(18&lt;=INDEX(Assumptions!B:B,MATCH("Years to stability",Assumptions!A:A,0))+1,T16*T17,"")</f>
      </c>
      <c r="U19" s="24">
        <f>=IF(19&lt;=INDEX(Assumptions!B:B,MATCH("Years to stability",Assumptions!A:A,0))+1,U16*U17,"")</f>
      </c>
      <c r="V19" s="24">
        <f>=IF(20&lt;=INDEX(Assumptions!B:B,MATCH("Years to stability",Assumptions!A:A,0))+1,V16*V17,"")</f>
      </c>
      <c r="W19" s="24">
        <f>=IF(21&lt;=INDEX(Assumptions!B:B,MATCH("Years to stability",Assumptions!A:A,0))+1,W16*W17,"")</f>
      </c>
    </row>
    <row r="21" spans="1:23" x14ac:dyDescent="0.25">
      <c r="A21" s="11" t="s">
        <v>79</v>
      </c>
      <c r="B21" s="24">
        <f>=SUM(C19:W19)</f>
      </c>
      <c r="C21" s="12"/>
      <c r="D21" s="12"/>
      <c r="E21" s="12"/>
      <c r="F21" s="12"/>
      <c r="G21" s="12"/>
      <c r="H21" s="12"/>
      <c r="I21" s="12"/>
      <c r="J21" s="12"/>
      <c r="K21" s="12"/>
      <c r="L21" s="12"/>
      <c r="M21" s="12"/>
      <c r="N21" s="12"/>
      <c r="O21" s="12"/>
      <c r="P21" s="12"/>
      <c r="Q21" s="12"/>
      <c r="R21" s="12"/>
      <c r="S21" s="12"/>
      <c r="T21" s="12"/>
      <c r="U21" s="12"/>
      <c r="V21" s="12"/>
      <c r="W21" s="12"/>
    </row>
    <row r="22" spans="1:23" x14ac:dyDescent="0.25">
      <c r="A22" s="11" t="s">
        <v>80</v>
      </c>
      <c r="B22" s="24">
        <f>=B21-B25</f>
      </c>
      <c r="C22" s="12"/>
      <c r="D22" s="12"/>
      <c r="E22" s="12"/>
      <c r="F22" s="12"/>
      <c r="G22" s="12"/>
      <c r="H22" s="12"/>
      <c r="I22" s="12"/>
      <c r="J22" s="12"/>
      <c r="K22" s="12"/>
      <c r="L22" s="12"/>
      <c r="M22" s="12"/>
      <c r="N22" s="12"/>
      <c r="O22" s="12"/>
      <c r="P22" s="12"/>
      <c r="Q22" s="12"/>
      <c r="R22" s="12"/>
      <c r="S22" s="12"/>
      <c r="T22" s="12"/>
      <c r="U22" s="12"/>
      <c r="V22" s="12"/>
      <c r="W22" s="12"/>
    </row>
    <row r="23" spans="1:23" x14ac:dyDescent="0.25">
      <c r="A23" s="11" t="s">
        <v>81</v>
      </c>
      <c r="B23" s="14">
        <v>0.009000000000000001</v>
      </c>
      <c r="C23" s="12"/>
      <c r="D23" s="12"/>
      <c r="E23" s="12"/>
      <c r="F23" s="12"/>
      <c r="G23" s="12"/>
      <c r="H23" s="12"/>
      <c r="I23" s="12"/>
      <c r="J23" s="12"/>
      <c r="K23" s="12"/>
      <c r="L23" s="12"/>
      <c r="M23" s="12"/>
      <c r="N23" s="12"/>
      <c r="O23" s="12"/>
      <c r="P23" s="12"/>
      <c r="Q23" s="12"/>
      <c r="R23" s="12"/>
      <c r="S23" s="12"/>
      <c r="T23" s="12"/>
      <c r="U23" s="12"/>
      <c r="V23" s="12"/>
      <c r="W23" s="12"/>
    </row>
    <row r="24" spans="1:23" x14ac:dyDescent="0.25">
      <c r="A24" s="11" t="s">
        <v>82</v>
      </c>
      <c r="B24" s="25">
        <f>=INDEX(Assumptions!B:B,MATCH("Recovery ratio",Assumptions!A:A,0))</f>
      </c>
      <c r="C24" s="12"/>
      <c r="D24" s="12"/>
      <c r="E24" s="12"/>
      <c r="F24" s="12"/>
      <c r="G24" s="12"/>
      <c r="H24" s="12"/>
      <c r="I24" s="12"/>
      <c r="J24" s="12"/>
      <c r="K24" s="12"/>
      <c r="L24" s="12"/>
      <c r="M24" s="12"/>
      <c r="N24" s="12"/>
      <c r="O24" s="12"/>
      <c r="P24" s="12"/>
      <c r="Q24" s="12"/>
      <c r="R24" s="12"/>
      <c r="S24" s="12"/>
      <c r="T24" s="12"/>
      <c r="U24" s="12"/>
      <c r="V24" s="12"/>
      <c r="W24" s="12"/>
    </row>
    <row r="25" spans="1:23" x14ac:dyDescent="0.25">
      <c r="A25" s="11" t="s">
        <v>83</v>
      </c>
      <c r="B25" s="24">
        <f>=(1-B23)*B21+B23*(B24*B11)</f>
      </c>
      <c r="C25" s="12"/>
      <c r="D25" s="12"/>
      <c r="E25" s="12"/>
      <c r="F25" s="12"/>
      <c r="G25" s="12"/>
      <c r="H25" s="12"/>
      <c r="I25" s="12"/>
      <c r="J25" s="12"/>
      <c r="K25" s="12"/>
      <c r="L25" s="12"/>
      <c r="M25" s="12"/>
      <c r="N25" s="12"/>
      <c r="O25" s="12"/>
      <c r="P25" s="12"/>
      <c r="Q25" s="12"/>
      <c r="R25" s="12"/>
      <c r="S25" s="12"/>
      <c r="T25" s="12"/>
      <c r="U25" s="12"/>
      <c r="V25" s="12"/>
      <c r="W25" s="12"/>
    </row>
    <row r="26" spans="1:23" x14ac:dyDescent="0.25">
      <c r="A26" s="11" t="s">
        <v>84</v>
      </c>
      <c r="B26" s="28">
        <v>0</v>
      </c>
      <c r="C26" s="12"/>
      <c r="D26" s="12"/>
      <c r="E26" s="12"/>
      <c r="F26" s="12"/>
      <c r="G26" s="12"/>
      <c r="H26" s="12"/>
      <c r="I26" s="12"/>
      <c r="J26" s="12"/>
      <c r="K26" s="12"/>
      <c r="L26" s="12"/>
      <c r="M26" s="12"/>
      <c r="N26" s="12"/>
      <c r="O26" s="12"/>
      <c r="P26" s="12"/>
      <c r="Q26" s="12"/>
      <c r="R26" s="12"/>
      <c r="S26" s="12"/>
      <c r="T26" s="12"/>
      <c r="U26" s="12"/>
      <c r="V26" s="12"/>
      <c r="W26" s="12"/>
    </row>
    <row r="27" spans="1:23" x14ac:dyDescent="0.25">
      <c r="A27" s="11" t="s">
        <v>85</v>
      </c>
      <c r="B27" s="28">
        <v>2200</v>
      </c>
      <c r="C27" s="12"/>
      <c r="D27" s="12"/>
      <c r="E27" s="12"/>
      <c r="F27" s="12"/>
      <c r="G27" s="12"/>
      <c r="H27" s="12"/>
      <c r="I27" s="12"/>
      <c r="J27" s="12"/>
      <c r="K27" s="12"/>
      <c r="L27" s="12"/>
      <c r="M27" s="12"/>
      <c r="N27" s="12"/>
      <c r="O27" s="12"/>
      <c r="P27" s="12"/>
      <c r="Q27" s="12"/>
      <c r="R27" s="12"/>
      <c r="S27" s="12"/>
      <c r="T27" s="12"/>
      <c r="U27" s="12"/>
      <c r="V27" s="12"/>
      <c r="W27" s="12"/>
    </row>
    <row r="28" spans="1:23" x14ac:dyDescent="0.25">
      <c r="A28" s="11" t="s">
        <v>86</v>
      </c>
      <c r="B28" s="24">
        <f>=B25-B26-B27</f>
      </c>
      <c r="C28" s="12"/>
      <c r="D28" s="12"/>
      <c r="E28" s="12"/>
      <c r="F28" s="12"/>
      <c r="G28" s="12"/>
      <c r="H28" s="12"/>
      <c r="I28" s="12"/>
      <c r="J28" s="12"/>
      <c r="K28" s="12"/>
      <c r="L28" s="12"/>
      <c r="M28" s="12"/>
      <c r="N28" s="12"/>
      <c r="O28" s="12"/>
      <c r="P28" s="12"/>
      <c r="Q28" s="12"/>
      <c r="R28" s="12"/>
      <c r="S28" s="12"/>
      <c r="T28" s="12"/>
      <c r="U28" s="12"/>
      <c r="V28" s="12"/>
      <c r="W28" s="12"/>
    </row>
    <row r="29" spans="1:23" x14ac:dyDescent="0.25">
      <c r="A29" s="11" t="s">
        <v>87</v>
      </c>
      <c r="B29" s="29">
        <f>=Summary!B20</f>
      </c>
      <c r="C29" s="12"/>
      <c r="D29" s="12"/>
      <c r="E29" s="12"/>
      <c r="F29" s="12"/>
      <c r="G29" s="12"/>
      <c r="H29" s="12"/>
      <c r="I29" s="12"/>
      <c r="J29" s="12"/>
      <c r="K29" s="12"/>
      <c r="L29" s="12"/>
      <c r="M29" s="12"/>
      <c r="N29" s="12"/>
      <c r="O29" s="12"/>
      <c r="P29" s="12"/>
      <c r="Q29" s="12"/>
      <c r="R29" s="12"/>
      <c r="S29" s="12"/>
      <c r="T29" s="12"/>
      <c r="U29" s="12"/>
      <c r="V29" s="12"/>
      <c r="W29" s="12"/>
    </row>
    <row r="30" spans="1:23" x14ac:dyDescent="0.25">
      <c r="A30" s="11" t="s">
        <v>88</v>
      </c>
      <c r="B30" s="30">
        <f>=B28/B29</f>
      </c>
      <c r="C30" s="12"/>
      <c r="D30" s="12"/>
      <c r="E30" s="12"/>
      <c r="F30" s="12"/>
      <c r="G30" s="12"/>
      <c r="H30" s="12"/>
      <c r="I30" s="12"/>
      <c r="J30" s="12"/>
      <c r="K30" s="12"/>
      <c r="L30" s="12"/>
      <c r="M30" s="12"/>
      <c r="N30" s="12"/>
      <c r="O30" s="12"/>
      <c r="P30" s="12"/>
      <c r="Q30" s="12"/>
      <c r="R30" s="12"/>
      <c r="S30" s="12"/>
      <c r="T30" s="12"/>
      <c r="U30" s="12"/>
      <c r="V30" s="12"/>
      <c r="W30" s="12"/>
    </row>
  </sheetData>
  <pageMargins left="0.7" right="0.7" top="0.75" bottom="0.75" header="0.3" footer="0.3"/>
  <pageSetup orientation="portrait" horizontalDpi="4294967295" verticalDpi="4294967295" scale="100" fitToWidth="1" fitToHeigh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howGridLines="0"/>
  </sheetViews>
  <sheetFormatPr defaultRowHeight="15" outlineLevelRow="0" outlineLevelCol="0" x14ac:dyDescent="55"/>
  <cols>
    <col min="1" max="1" width="25" style="6" customWidth="1"/>
    <col min="2" max="2" width="15" style="7" customWidth="1"/>
    <col min="3" max="3" width="15" style="6" customWidth="1"/>
    <col min="4" max="6" width="20" style="7" customWidth="1"/>
  </cols>
  <sheetData>
    <row r="1" spans="1:6" s="8" customFormat="1" x14ac:dyDescent="0.25">
      <c r="A1" s="9" t="s">
        <v>89</v>
      </c>
      <c r="B1" s="10"/>
      <c r="C1" s="9"/>
      <c r="D1" s="10"/>
      <c r="E1" s="10"/>
      <c r="F1" s="10"/>
    </row>
    <row r="2" spans="1:6" x14ac:dyDescent="0.25">
      <c r="A2" s="11" t="s">
        <v>10</v>
      </c>
      <c r="B2" s="12"/>
      <c r="C2" s="11"/>
      <c r="D2" s="12"/>
      <c r="E2" s="12"/>
      <c r="F2" s="12"/>
    </row>
    <row r="4" spans="1:6" s="17" customFormat="1" x14ac:dyDescent="0.25">
      <c r="A4" s="18" t="s">
        <v>90</v>
      </c>
      <c r="B4" s="31"/>
      <c r="C4" s="18"/>
      <c r="D4" s="31"/>
      <c r="E4" s="31"/>
      <c r="F4" s="31"/>
    </row>
    <row r="5" spans="1:6" s="32" customFormat="1" x14ac:dyDescent="0.25">
      <c r="A5" s="21" t="s">
        <v>91</v>
      </c>
      <c r="B5" s="22" t="s">
        <v>92</v>
      </c>
      <c r="C5" s="21" t="s">
        <v>93</v>
      </c>
      <c r="D5" s="22" t="s">
        <v>94</v>
      </c>
      <c r="E5" s="22" t="s">
        <v>95</v>
      </c>
      <c r="F5" s="22" t="s">
        <v>96</v>
      </c>
    </row>
    <row r="6" spans="1:6" x14ac:dyDescent="0.25">
      <c r="A6" s="33">
        <v>0</v>
      </c>
      <c r="B6" s="13">
        <v>0</v>
      </c>
      <c r="C6" s="34">
        <v>0</v>
      </c>
      <c r="D6" s="14">
        <v>0</v>
      </c>
      <c r="E6" s="14">
        <v>0</v>
      </c>
      <c r="F6" s="35"/>
    </row>
    <row r="8" spans="1:6" s="17" customFormat="1" x14ac:dyDescent="0.25">
      <c r="A8" s="18" t="s">
        <v>97</v>
      </c>
      <c r="B8" s="31"/>
      <c r="C8" s="18"/>
      <c r="D8" s="31"/>
      <c r="E8" s="31"/>
      <c r="F8" s="31"/>
    </row>
    <row r="9" spans="1:6" s="32" customFormat="1" x14ac:dyDescent="0.25">
      <c r="A9" s="21" t="s">
        <v>98</v>
      </c>
      <c r="B9" s="22" t="s">
        <v>96</v>
      </c>
      <c r="C9" s="21" t="s">
        <v>99</v>
      </c>
      <c r="D9" s="36"/>
      <c r="E9" s="36"/>
      <c r="F9" s="36"/>
    </row>
    <row r="10" spans="1:6" x14ac:dyDescent="0.25">
      <c r="A10" s="11" t="s">
        <v>100</v>
      </c>
      <c r="B10" s="16">
        <v>0</v>
      </c>
      <c r="C10" s="11" t="s">
        <v>62</v>
      </c>
      <c r="D10" s="12"/>
      <c r="E10" s="12"/>
      <c r="F10" s="12"/>
    </row>
    <row r="11" spans="1:6" x14ac:dyDescent="0.25">
      <c r="A11" s="11" t="s">
        <v>101</v>
      </c>
      <c r="B11" s="16">
        <v>0</v>
      </c>
      <c r="C11" s="11" t="s">
        <v>62</v>
      </c>
      <c r="D11" s="12"/>
      <c r="E11" s="12"/>
      <c r="F11" s="12"/>
    </row>
    <row r="12" spans="1:6" x14ac:dyDescent="0.25">
      <c r="A12" s="11" t="s">
        <v>102</v>
      </c>
      <c r="B12" s="16">
        <v>0</v>
      </c>
      <c r="C12" s="11" t="s">
        <v>62</v>
      </c>
      <c r="D12" s="12"/>
      <c r="E12" s="12"/>
      <c r="F12" s="12"/>
    </row>
    <row r="13" spans="1:6" x14ac:dyDescent="0.25">
      <c r="A13" s="11" t="s">
        <v>103</v>
      </c>
      <c r="B13" s="16">
        <v>0</v>
      </c>
      <c r="C13" s="11" t="s">
        <v>62</v>
      </c>
      <c r="D13" s="12"/>
      <c r="E13" s="12"/>
      <c r="F13" s="12"/>
    </row>
    <row r="14" spans="1:6" x14ac:dyDescent="0.25">
      <c r="A14" s="11" t="s">
        <v>104</v>
      </c>
      <c r="B14" s="16">
        <v>0</v>
      </c>
      <c r="C14" s="11" t="s">
        <v>62</v>
      </c>
      <c r="D14" s="12"/>
      <c r="E14" s="12"/>
      <c r="F14" s="12"/>
    </row>
    <row r="15" spans="1:6" x14ac:dyDescent="0.25">
      <c r="A15" s="11" t="s">
        <v>105</v>
      </c>
      <c r="B15" s="16">
        <v>0</v>
      </c>
      <c r="C15" s="11" t="s">
        <v>62</v>
      </c>
      <c r="D15" s="12"/>
      <c r="E15" s="12"/>
      <c r="F15" s="12"/>
    </row>
    <row r="16" spans="1:6" x14ac:dyDescent="0.25">
      <c r="A16" s="11" t="s">
        <v>106</v>
      </c>
      <c r="B16" s="16">
        <v>2200</v>
      </c>
      <c r="C16" s="11" t="s">
        <v>107</v>
      </c>
      <c r="D16" s="12"/>
      <c r="E16" s="12"/>
      <c r="F16" s="12"/>
    </row>
  </sheetData>
  <pageMargins left="0.7" right="0.7" top="0.75" bottom="0.75" header="0.3" footer="0.3"/>
  <pageSetup orientation="portrait" horizontalDpi="4294967295" verticalDpi="4294967295" scale="100" fitToWidth="1" fitToHeight="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howGridLines="0"/>
  </sheetViews>
  <sheetFormatPr defaultRowHeight="15" outlineLevelRow="0" outlineLevelCol="0" x14ac:dyDescent="55"/>
  <cols>
    <col min="1" max="1" width="30" style="6" customWidth="1"/>
    <col min="2" max="6" width="15" style="7" customWidth="1"/>
  </cols>
  <sheetData>
    <row r="1" spans="1:6" s="8" customFormat="1" x14ac:dyDescent="0.25">
      <c r="A1" s="9" t="s">
        <v>108</v>
      </c>
      <c r="B1" s="10"/>
      <c r="C1" s="10"/>
      <c r="D1" s="10"/>
      <c r="E1" s="10"/>
      <c r="F1" s="10"/>
    </row>
    <row r="2" spans="1:6" x14ac:dyDescent="0.25">
      <c r="A2" s="11" t="s">
        <v>10</v>
      </c>
      <c r="B2" s="12"/>
      <c r="C2" s="12"/>
      <c r="D2" s="12"/>
      <c r="E2" s="12"/>
      <c r="F2" s="12"/>
    </row>
    <row r="4" spans="1:6" x14ac:dyDescent="0.25">
      <c r="A4" s="21" t="s">
        <v>109</v>
      </c>
      <c r="B4" s="37">
        <v>2025</v>
      </c>
      <c r="C4" s="37">
        <v>2024</v>
      </c>
      <c r="D4" s="37">
        <v>2023</v>
      </c>
      <c r="E4" s="37">
        <v>2022</v>
      </c>
      <c r="F4" s="37">
        <v>2021</v>
      </c>
    </row>
    <row r="5" spans="1:6" x14ac:dyDescent="0.25">
      <c r="A5" s="11" t="s">
        <v>64</v>
      </c>
      <c r="B5" s="16">
        <v>130497</v>
      </c>
      <c r="C5" s="16">
        <v>60922</v>
      </c>
      <c r="D5" s="16">
        <v>26974</v>
      </c>
      <c r="E5" s="16">
        <v>26914</v>
      </c>
      <c r="F5" s="16">
        <v>16675</v>
      </c>
    </row>
    <row r="6" spans="1:6" x14ac:dyDescent="0.25">
      <c r="A6" s="11" t="s">
        <v>110</v>
      </c>
      <c r="B6" s="14">
        <v>1.142</v>
      </c>
      <c r="C6" s="14">
        <v>1.2585</v>
      </c>
      <c r="D6" s="14">
        <v>0.0022</v>
      </c>
      <c r="E6" s="14">
        <v>0.614</v>
      </c>
      <c r="F6" s="14">
        <v>0.5273</v>
      </c>
    </row>
    <row r="7" spans="1:6" x14ac:dyDescent="0.25">
      <c r="A7" s="11" t="s">
        <v>111</v>
      </c>
      <c r="B7" s="16">
        <v>80659</v>
      </c>
      <c r="C7" s="16">
        <v>34263.3</v>
      </c>
      <c r="D7" s="16">
        <v>8661.7</v>
      </c>
      <c r="E7" s="16">
        <v>12866.95</v>
      </c>
      <c r="F7" s="16">
        <v>6745.8</v>
      </c>
    </row>
    <row r="8" spans="1:6" x14ac:dyDescent="0.25">
      <c r="A8" s="11" t="s">
        <v>112</v>
      </c>
      <c r="B8" s="14">
        <v>0.6180908373372568</v>
      </c>
      <c r="C8" s="14">
        <v>0.5624125931518992</v>
      </c>
      <c r="D8" s="14">
        <v>0.3211129235560169</v>
      </c>
      <c r="E8" s="14">
        <v>0.4780764657798915</v>
      </c>
      <c r="F8" s="14">
        <v>0.4045457271364318</v>
      </c>
    </row>
    <row r="9" spans="1:6" x14ac:dyDescent="0.25">
      <c r="A9" s="11" t="s">
        <v>113</v>
      </c>
      <c r="B9" s="16">
        <v>46119</v>
      </c>
      <c r="C9" s="16">
        <v>24335.3</v>
      </c>
      <c r="D9" s="16">
        <v>-1775.3</v>
      </c>
      <c r="E9" s="16">
        <v>12748.95</v>
      </c>
      <c r="F9" s="16">
        <v>6544.8</v>
      </c>
    </row>
    <row r="10" spans="1:6" x14ac:dyDescent="0.25">
      <c r="A10" s="11" t="s">
        <v>114</v>
      </c>
      <c r="B10" s="16">
        <v>34540</v>
      </c>
      <c r="C10" s="16">
        <v>9928</v>
      </c>
      <c r="D10" s="16">
        <v>10437</v>
      </c>
      <c r="E10" s="16">
        <v>118</v>
      </c>
      <c r="F10" s="16">
        <v>201</v>
      </c>
    </row>
    <row r="11" spans="1:6" x14ac:dyDescent="0.25">
      <c r="A11" s="11" t="s">
        <v>115</v>
      </c>
      <c r="B11" s="16">
        <v>108885.4</v>
      </c>
      <c r="C11" s="16">
        <v>64757.4</v>
      </c>
      <c r="D11" s="16">
        <v>39377.1</v>
      </c>
      <c r="E11" s="16">
        <v>39594.4</v>
      </c>
      <c r="F11" s="16">
        <v>26760.45</v>
      </c>
    </row>
    <row r="12" spans="1:6" x14ac:dyDescent="0.25">
      <c r="A12" s="11" t="s">
        <v>116</v>
      </c>
      <c r="B12" s="14">
        <v>0.7407696532317464</v>
      </c>
      <c r="C12" s="14">
        <v>0.5291024655097333</v>
      </c>
      <c r="D12" s="14">
        <v>0.2199679509156337</v>
      </c>
      <c r="E12" s="14">
        <v>0.3249689350009092</v>
      </c>
      <c r="F12" s="14">
        <v>0.2520809627640791</v>
      </c>
    </row>
    <row r="13" spans="1:6" x14ac:dyDescent="0.25">
      <c r="A13" s="11" t="s">
        <v>117</v>
      </c>
      <c r="B13" s="16">
        <v>1.198480237019839</v>
      </c>
      <c r="C13" s="16">
        <v>0.9407727919897958</v>
      </c>
      <c r="D13" s="16">
        <v>0.685017433990822</v>
      </c>
      <c r="E13" s="16">
        <v>0.6797425898611925</v>
      </c>
      <c r="F13" s="16">
        <v>0.62312106111818</v>
      </c>
    </row>
  </sheetData>
  <pageMargins left="0.7" right="0.7" top="0.75" bottom="0.75" header="0.3" footer="0.3"/>
  <pageSetup orientation="portrait" horizontalDpi="4294967295" verticalDpi="4294967295" scale="100" fitToWidth="1" fitToHeight="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howGridLines="0"/>
  </sheetViews>
  <sheetFormatPr defaultRowHeight="15" outlineLevelRow="0" outlineLevelCol="0" x14ac:dyDescent="55"/>
  <cols>
    <col min="1" max="1" width="9" style="6" customWidth="1"/>
    <col min="2" max="2" width="9" style="7" customWidth="1"/>
    <col min="3" max="3" width="9" style="38" customWidth="1"/>
    <col min="4" max="4" width="9" style="7" customWidth="1"/>
    <col min="5" max="5" width="9" style="38" customWidth="1"/>
    <col min="6" max="6" width="9" style="7" customWidth="1"/>
  </cols>
  <sheetData>
    <row r="1" spans="1:6" s="8" customFormat="1" x14ac:dyDescent="0.25">
      <c r="A1" s="9" t="s">
        <v>118</v>
      </c>
      <c r="B1" s="10"/>
      <c r="C1" s="39"/>
      <c r="D1" s="10"/>
      <c r="E1" s="39"/>
      <c r="F1" s="10"/>
    </row>
    <row r="2" spans="1:6" x14ac:dyDescent="0.25">
      <c r="A2" s="11" t="s">
        <v>10</v>
      </c>
      <c r="B2" s="12"/>
      <c r="C2" s="40"/>
      <c r="D2" s="12"/>
      <c r="E2" s="40"/>
      <c r="F2" s="12"/>
    </row>
    <row r="4" spans="1:6" x14ac:dyDescent="0.25">
      <c r="A4" s="18" t="s">
        <v>119</v>
      </c>
      <c r="B4" s="12"/>
      <c r="C4" s="40"/>
      <c r="D4" s="12"/>
      <c r="E4" s="40"/>
      <c r="F4" s="12"/>
    </row>
    <row r="5" spans="1:6" s="32" customFormat="1" x14ac:dyDescent="0.25">
      <c r="A5" s="21" t="s">
        <v>120</v>
      </c>
      <c r="B5" s="22" t="s">
        <v>121</v>
      </c>
      <c r="C5" s="41" t="s">
        <v>110</v>
      </c>
      <c r="D5" s="22" t="s">
        <v>122</v>
      </c>
      <c r="E5" s="41" t="s">
        <v>110</v>
      </c>
      <c r="F5" s="22" t="s">
        <v>123</v>
      </c>
    </row>
    <row r="6" spans="1:6" x14ac:dyDescent="0.25">
      <c r="A6" s="11" t="s">
        <v>124</v>
      </c>
      <c r="B6" s="16">
        <v>17108</v>
      </c>
      <c r="C6" s="14">
        <v>0.6600038812342325</v>
      </c>
      <c r="D6" s="16">
        <v>10306</v>
      </c>
      <c r="E6" s="14">
        <v>0.7815038893690579</v>
      </c>
      <c r="F6" s="16">
        <v>5785</v>
      </c>
    </row>
    <row r="7" spans="1:6" x14ac:dyDescent="0.25">
      <c r="A7" s="11" t="s">
        <v>125</v>
      </c>
      <c r="B7" s="16">
        <v>7875</v>
      </c>
      <c r="C7" s="14">
        <v>-0.23133235724743778</v>
      </c>
      <c r="D7" s="16">
        <v>10245</v>
      </c>
      <c r="E7" s="14">
        <v>0.7332092708509559</v>
      </c>
      <c r="F7" s="16">
        <v>5911</v>
      </c>
    </row>
    <row r="8" spans="1:6" x14ac:dyDescent="0.25">
      <c r="A8" s="11" t="s">
        <v>126</v>
      </c>
      <c r="B8" s="16">
        <v>23684</v>
      </c>
      <c r="C8" s="40"/>
      <c r="D8" s="16">
        <v>0</v>
      </c>
      <c r="E8" s="40"/>
      <c r="F8" s="16">
        <v>0</v>
      </c>
    </row>
    <row r="9" spans="1:6" x14ac:dyDescent="0.25">
      <c r="A9" s="11" t="s">
        <v>127</v>
      </c>
      <c r="B9" s="16">
        <v>20573</v>
      </c>
      <c r="C9" s="14">
        <v>0.5347258485639687</v>
      </c>
      <c r="D9" s="16">
        <v>13405</v>
      </c>
      <c r="E9" s="14">
        <v>0.9188376753507014</v>
      </c>
      <c r="F9" s="16">
        <v>6986</v>
      </c>
    </row>
    <row r="10" spans="1:6" x14ac:dyDescent="0.25">
      <c r="A10" s="11" t="s">
        <v>128</v>
      </c>
      <c r="B10" s="16">
        <v>61257</v>
      </c>
      <c r="C10" s="14">
        <v>1.2716383594155602</v>
      </c>
      <c r="D10" s="16">
        <v>26966</v>
      </c>
      <c r="E10" s="14">
        <v>2.2520501688374335</v>
      </c>
      <c r="F10" s="16">
        <v>8292</v>
      </c>
    </row>
    <row r="11" spans="1:6" x14ac:dyDescent="0.25">
      <c r="A11" s="11" t="s">
        <v>129</v>
      </c>
      <c r="B11" s="16">
        <v>130497</v>
      </c>
      <c r="C11" s="14">
        <v>1.1420340763599357</v>
      </c>
      <c r="D11" s="16">
        <v>60922</v>
      </c>
      <c r="E11" s="14">
        <v>1.2585452658115222</v>
      </c>
      <c r="F11" s="16">
        <v>26974</v>
      </c>
    </row>
    <row r="13" spans="1:6" x14ac:dyDescent="0.25">
      <c r="A13" s="18" t="s">
        <v>130</v>
      </c>
      <c r="B13" s="12"/>
      <c r="C13" s="40"/>
      <c r="D13" s="12"/>
      <c r="E13" s="40"/>
      <c r="F13" s="12"/>
    </row>
    <row r="14" spans="1:6" s="32" customFormat="1" x14ac:dyDescent="0.25">
      <c r="A14" s="21" t="s">
        <v>120</v>
      </c>
      <c r="B14" s="22" t="s">
        <v>121</v>
      </c>
      <c r="C14" s="41" t="s">
        <v>110</v>
      </c>
      <c r="D14" s="22" t="s">
        <v>122</v>
      </c>
      <c r="E14" s="41" t="s">
        <v>110</v>
      </c>
      <c r="F14" s="22" t="s">
        <v>123</v>
      </c>
    </row>
    <row r="15" spans="1:6" x14ac:dyDescent="0.25">
      <c r="A15" s="11" t="s">
        <v>131</v>
      </c>
      <c r="B15" s="16">
        <v>1694</v>
      </c>
      <c r="C15" s="14">
        <v>0.5527039413382218</v>
      </c>
      <c r="D15" s="16">
        <v>1091</v>
      </c>
      <c r="E15" s="14">
        <v>0.2081949058693245</v>
      </c>
      <c r="F15" s="16">
        <v>903</v>
      </c>
    </row>
    <row r="16" spans="1:6" x14ac:dyDescent="0.25">
      <c r="A16" s="11" t="s">
        <v>132</v>
      </c>
      <c r="B16" s="16">
        <v>115186</v>
      </c>
      <c r="C16" s="14">
        <v>1.4236927932667018</v>
      </c>
      <c r="D16" s="16">
        <v>47525</v>
      </c>
      <c r="E16" s="14">
        <v>2.1672775741419525</v>
      </c>
      <c r="F16" s="16">
        <v>15005</v>
      </c>
    </row>
    <row r="17" spans="1:6" x14ac:dyDescent="0.25">
      <c r="A17" s="11" t="s">
        <v>133</v>
      </c>
      <c r="B17" s="16">
        <v>11350</v>
      </c>
      <c r="C17" s="14">
        <v>0.08643629750167513</v>
      </c>
      <c r="D17" s="16">
        <v>10447</v>
      </c>
      <c r="E17" s="14">
        <v>0.15220028675416344</v>
      </c>
      <c r="F17" s="16">
        <v>9067</v>
      </c>
    </row>
    <row r="18" spans="1:6" x14ac:dyDescent="0.25">
      <c r="A18" s="11" t="s">
        <v>134</v>
      </c>
      <c r="B18" s="16">
        <v>389</v>
      </c>
      <c r="C18" s="14">
        <v>0.27124183006535946</v>
      </c>
      <c r="D18" s="16">
        <v>306</v>
      </c>
      <c r="E18" s="14">
        <v>-0.3274725274725275</v>
      </c>
      <c r="F18" s="16">
        <v>455</v>
      </c>
    </row>
    <row r="19" spans="1:6" x14ac:dyDescent="0.25">
      <c r="A19" s="11" t="s">
        <v>135</v>
      </c>
      <c r="B19" s="16">
        <v>1878</v>
      </c>
      <c r="C19" s="14">
        <v>0.20927237604636187</v>
      </c>
      <c r="D19" s="16">
        <v>1553</v>
      </c>
      <c r="E19" s="14">
        <v>0.005829015544041451</v>
      </c>
      <c r="F19" s="16">
        <v>1544</v>
      </c>
    </row>
    <row r="20" spans="1:6" x14ac:dyDescent="0.25">
      <c r="A20" s="11" t="s">
        <v>129</v>
      </c>
      <c r="B20" s="16">
        <v>130497</v>
      </c>
      <c r="C20" s="14">
        <v>1.1420340763599357</v>
      </c>
      <c r="D20" s="16">
        <v>60922</v>
      </c>
      <c r="E20" s="14">
        <v>1.2585452658115222</v>
      </c>
      <c r="F20" s="16">
        <v>26974</v>
      </c>
    </row>
  </sheetData>
  <pageMargins left="0.7" right="0.7" top="0.75" bottom="0.75" header="0.3" footer="0.3"/>
  <pageSetup orientation="portrait" horizontalDpi="4294967295" verticalDpi="4294967295" scale="100" fitToWidth="1" fitToHeight="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howGridLines="0"/>
  </sheetViews>
  <sheetFormatPr defaultRowHeight="15" outlineLevelRow="0" outlineLevelCol="0" x14ac:dyDescent="55"/>
  <cols>
    <col min="1" max="1" width="28" style="6" customWidth="1"/>
    <col min="2" max="2" width="18" style="7" customWidth="1"/>
    <col min="3" max="3" width="26" style="7" customWidth="1"/>
    <col min="4" max="6" width="18" style="7" customWidth="1"/>
  </cols>
  <sheetData>
    <row r="1" spans="1:6" s="8" customFormat="1" x14ac:dyDescent="0.25">
      <c r="A1" s="9" t="s">
        <v>136</v>
      </c>
      <c r="B1" s="10"/>
      <c r="C1" s="10"/>
      <c r="D1" s="10"/>
      <c r="E1" s="10"/>
      <c r="F1" s="10"/>
    </row>
    <row r="2" spans="1:6" x14ac:dyDescent="0.25">
      <c r="A2" s="11" t="s">
        <v>10</v>
      </c>
      <c r="B2" s="12"/>
      <c r="C2" s="12"/>
      <c r="D2" s="12"/>
      <c r="E2" s="12"/>
      <c r="F2" s="12"/>
    </row>
    <row r="4" spans="1:6" s="32" customFormat="1" x14ac:dyDescent="0.25">
      <c r="A4" s="42" t="s">
        <v>137</v>
      </c>
      <c r="B4" s="36" t="s">
        <v>138</v>
      </c>
      <c r="C4" s="36" t="s">
        <v>139</v>
      </c>
      <c r="D4" s="36"/>
      <c r="E4" s="36"/>
      <c r="F4" s="36"/>
    </row>
    <row r="5" spans="1:6" x14ac:dyDescent="0.25">
      <c r="A5" s="11" t="s">
        <v>140</v>
      </c>
      <c r="B5" s="12" t="s">
        <v>141</v>
      </c>
      <c r="C5" s="12" t="s">
        <v>142</v>
      </c>
      <c r="D5" s="12"/>
      <c r="E5" s="12"/>
      <c r="F5" s="12"/>
    </row>
    <row r="6" spans="1:6" x14ac:dyDescent="0.25">
      <c r="A6" s="11" t="s">
        <v>143</v>
      </c>
      <c r="B6" s="12" t="s">
        <v>144</v>
      </c>
      <c r="C6" s="12" t="s">
        <v>145</v>
      </c>
      <c r="D6" s="12"/>
      <c r="E6" s="12"/>
      <c r="F6" s="12"/>
    </row>
    <row r="7" spans="1:6" x14ac:dyDescent="0.25">
      <c r="A7" s="11" t="s">
        <v>146</v>
      </c>
      <c r="B7" s="12" t="s">
        <v>147</v>
      </c>
      <c r="C7" s="12" t="s">
        <v>142</v>
      </c>
      <c r="D7" s="12"/>
      <c r="E7" s="12"/>
      <c r="F7" s="12"/>
    </row>
    <row r="9" spans="1:6" s="43" customFormat="1" x14ac:dyDescent="0.25">
      <c r="A9" s="44" t="s">
        <v>148</v>
      </c>
      <c r="B9" s="44"/>
      <c r="C9" s="44"/>
      <c r="D9" s="44"/>
      <c r="E9" s="44"/>
      <c r="F9" s="44"/>
    </row>
    <row r="10" spans="1:6" s="32" customFormat="1" x14ac:dyDescent="0.25">
      <c r="A10" s="42" t="s">
        <v>149</v>
      </c>
      <c r="B10" s="36" t="s">
        <v>150</v>
      </c>
      <c r="C10" s="36" t="s">
        <v>151</v>
      </c>
      <c r="D10" s="36" t="s">
        <v>152</v>
      </c>
      <c r="E10" s="36" t="s">
        <v>153</v>
      </c>
      <c r="F10" s="36" t="s">
        <v>154</v>
      </c>
    </row>
    <row r="11" spans="1:6" x14ac:dyDescent="0.25">
      <c r="A11" s="11" t="s">
        <v>140</v>
      </c>
      <c r="B11" s="45">
        <v>10.25988243083905</v>
      </c>
      <c r="C11" s="45">
        <v>17.25184598272994</v>
      </c>
      <c r="D11" s="45">
        <v>40.1192383152614</v>
      </c>
      <c r="E11" s="45">
        <v>77.2080004386952</v>
      </c>
      <c r="F11" s="45">
        <v>127.1133077865686</v>
      </c>
    </row>
    <row r="12" spans="1:6" x14ac:dyDescent="0.25">
      <c r="A12" s="11" t="s">
        <v>143</v>
      </c>
      <c r="B12" s="45">
        <v>43.34356985693555</v>
      </c>
      <c r="C12" s="45">
        <v>69.34447740053487</v>
      </c>
      <c r="D12" s="45">
        <v>126.9970936697729</v>
      </c>
      <c r="E12" s="45">
        <v>246.5835775229872</v>
      </c>
      <c r="F12" s="45">
        <v>455.0278084269269</v>
      </c>
    </row>
    <row r="13" spans="1:6" x14ac:dyDescent="0.25">
      <c r="A13" s="11" t="s">
        <v>146</v>
      </c>
      <c r="B13" s="46">
        <v>5.616227272297499</v>
      </c>
      <c r="C13" s="46">
        <v>9.27719529674624</v>
      </c>
      <c r="D13" s="45">
        <v>17.46361353367933</v>
      </c>
      <c r="E13" s="45">
        <v>37.58104874547725</v>
      </c>
      <c r="F13" s="45">
        <v>63.44932537266565</v>
      </c>
    </row>
  </sheetData>
  <mergeCells count="1">
    <mergeCell ref="A9:F9"/>
  </mergeCells>
  <pageMargins left="0.7" right="0.7" top="0.75" bottom="0.75" header="0.3" footer="0.3"/>
  <pageSetup orientation="portrait" horizontalDpi="4294967295" verticalDpi="4294967295" scale="100" fitToWidth="1" fitToHeight="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workbookViewId="0" showGridLines="0"/>
  </sheetViews>
  <sheetFormatPr defaultRowHeight="15" outlineLevelRow="0" outlineLevelCol="0" x14ac:dyDescent="55"/>
  <cols>
    <col min="1" max="1" width="30" style="6" customWidth="1"/>
    <col min="2" max="5" width="20" style="7" customWidth="1"/>
  </cols>
  <sheetData>
    <row r="1" spans="1:5" s="8" customFormat="1" x14ac:dyDescent="0.25">
      <c r="A1" s="9" t="s">
        <v>155</v>
      </c>
      <c r="B1" s="10"/>
      <c r="C1" s="10"/>
      <c r="D1" s="10"/>
      <c r="E1" s="10"/>
    </row>
    <row r="2" spans="1:5" x14ac:dyDescent="0.25">
      <c r="A2" s="11" t="s">
        <v>10</v>
      </c>
      <c r="B2" s="12"/>
      <c r="C2" s="12"/>
      <c r="D2" s="12"/>
      <c r="E2" s="12"/>
    </row>
    <row r="4" spans="1:5" s="17" customFormat="1" x14ac:dyDescent="0.25">
      <c r="A4" s="18" t="s">
        <v>156</v>
      </c>
      <c r="B4" s="31"/>
      <c r="C4" s="31"/>
      <c r="D4" s="31"/>
      <c r="E4" s="31"/>
    </row>
    <row r="5" spans="1:5" x14ac:dyDescent="0.25">
      <c r="A5" s="11" t="s">
        <v>157</v>
      </c>
      <c r="B5" s="19">
        <v>0.04051999999999999</v>
      </c>
      <c r="C5" s="12"/>
      <c r="D5" s="12"/>
      <c r="E5" s="12"/>
    </row>
    <row r="6" spans="1:5" x14ac:dyDescent="0.25">
      <c r="A6" s="11" t="s">
        <v>158</v>
      </c>
      <c r="B6" s="12" t="s">
        <v>159</v>
      </c>
      <c r="C6" s="12"/>
      <c r="D6" s="12"/>
      <c r="E6" s="12"/>
    </row>
    <row r="7" spans="1:5" x14ac:dyDescent="0.25">
      <c r="A7" s="11" t="s">
        <v>160</v>
      </c>
      <c r="B7" s="19">
        <v>0.003</v>
      </c>
      <c r="C7" s="12"/>
      <c r="D7" s="12"/>
      <c r="E7" s="12"/>
    </row>
    <row r="8" spans="1:5" x14ac:dyDescent="0.25">
      <c r="A8" s="11" t="s">
        <v>161</v>
      </c>
      <c r="B8" s="25">
        <f>=INDEX(B:B,MATCH("Ten-year bond yield",A:A,0))-INDEX(B:B,MATCH("Default spread",A:A,0))</f>
      </c>
      <c r="C8" s="12"/>
      <c r="D8" s="12"/>
      <c r="E8" s="12"/>
    </row>
    <row r="10" spans="1:5" s="17" customFormat="1" x14ac:dyDescent="0.25">
      <c r="A10" s="18" t="s">
        <v>162</v>
      </c>
      <c r="B10" s="31"/>
      <c r="C10" s="31"/>
      <c r="D10" s="31"/>
      <c r="E10" s="31"/>
    </row>
    <row r="11" spans="1:5" s="32" customFormat="1" x14ac:dyDescent="0.25">
      <c r="A11" s="21" t="s">
        <v>120</v>
      </c>
      <c r="B11" s="22" t="s">
        <v>163</v>
      </c>
      <c r="C11" s="22" t="s">
        <v>164</v>
      </c>
      <c r="D11" s="22" t="s">
        <v>165</v>
      </c>
      <c r="E11" s="22" t="s">
        <v>166</v>
      </c>
    </row>
    <row r="12" spans="1:5" x14ac:dyDescent="0.25">
      <c r="A12" s="11" t="s">
        <v>135</v>
      </c>
      <c r="B12" s="20">
        <v>1878</v>
      </c>
      <c r="C12" s="20">
        <v>5.25</v>
      </c>
      <c r="D12" s="25">
        <f>(B12*C12)/SUMPRODUCT(B12:B16,C12:C16)</f>
      </c>
      <c r="E12" s="20">
        <v>1.83</v>
      </c>
    </row>
    <row r="13" spans="1:5" x14ac:dyDescent="0.25">
      <c r="A13" s="11" t="s">
        <v>134</v>
      </c>
      <c r="B13" s="20">
        <v>389</v>
      </c>
      <c r="C13" s="20">
        <v>4.06</v>
      </c>
      <c r="D13" s="25">
        <f>(B13*C13)/SUMPRODUCT(B12:B16,C12:C16)</f>
      </c>
      <c r="E13" s="20">
        <v>1.45</v>
      </c>
    </row>
    <row r="14" spans="1:5" x14ac:dyDescent="0.25">
      <c r="A14" s="11" t="s">
        <v>133</v>
      </c>
      <c r="B14" s="20">
        <v>11350</v>
      </c>
      <c r="C14" s="20">
        <v>5.71</v>
      </c>
      <c r="D14" s="25">
        <f>(B14*C14)/SUMPRODUCT(B12:B16,C12:C16)</f>
      </c>
      <c r="E14" s="20">
        <v>1.92</v>
      </c>
    </row>
    <row r="15" spans="1:5" x14ac:dyDescent="0.25">
      <c r="A15" s="11" t="s">
        <v>132</v>
      </c>
      <c r="B15" s="20">
        <v>115186</v>
      </c>
      <c r="C15" s="20">
        <v>6.97</v>
      </c>
      <c r="D15" s="25">
        <f>(B15*C15)/SUMPRODUCT(B12:B16,C12:C16)</f>
      </c>
      <c r="E15" s="20">
        <v>3.03</v>
      </c>
    </row>
    <row r="16" spans="1:5" x14ac:dyDescent="0.25">
      <c r="A16" s="11" t="s">
        <v>131</v>
      </c>
      <c r="B16" s="20">
        <v>1694</v>
      </c>
      <c r="C16" s="20">
        <v>0.99</v>
      </c>
      <c r="D16" s="25">
        <f>(B16*C16)/SUMPRODUCT(B12:B16,C12:C16)</f>
      </c>
      <c r="E16" s="20">
        <v>1.36</v>
      </c>
    </row>
    <row r="18" spans="1:5" x14ac:dyDescent="0.25">
      <c r="A18" s="11" t="s">
        <v>166</v>
      </c>
      <c r="B18" s="47">
        <f>=SUMPRODUCT(INDEX(D:D,MATCH("Segment",A:A,0)+1):INDEX(D:D,MATCH(TRUE,INDEX((INDEX(A:A,MATCH("Segment",A:A,0)+1):A1048576)="",0),0)+MATCH("Segment",A:A,0)+1-1),INDEX(E:E,MATCH("Segment",A:A,0)+1):INDEX(E:E,MATCH(TRUE,INDEX((INDEX(A:A,MATCH("Segment",A:A,0)+1):A1048576)="",0),0)+MATCH("Segment",A:A,0)+1-1))</f>
      </c>
      <c r="C18" s="12"/>
      <c r="D18" s="12"/>
      <c r="E18" s="12"/>
    </row>
    <row r="19" spans="1:5" x14ac:dyDescent="0.25">
      <c r="A19" s="11" t="s">
        <v>167</v>
      </c>
      <c r="B19" s="19">
        <v>0.002222199364394173</v>
      </c>
      <c r="C19" s="12"/>
      <c r="D19" s="12"/>
      <c r="E19" s="12"/>
    </row>
    <row r="20" spans="1:5" x14ac:dyDescent="0.25">
      <c r="A20" s="11" t="s">
        <v>168</v>
      </c>
      <c r="B20" s="19">
        <v>0.009328951248971587</v>
      </c>
      <c r="C20" s="12"/>
      <c r="D20" s="12"/>
      <c r="E20" s="12"/>
    </row>
    <row r="21" spans="1:5" x14ac:dyDescent="0.25">
      <c r="A21" s="11" t="s">
        <v>169</v>
      </c>
      <c r="B21" s="19">
        <v>0.2126053664068906</v>
      </c>
      <c r="C21" s="12"/>
      <c r="D21" s="12"/>
      <c r="E21" s="12"/>
    </row>
    <row r="22" spans="1:5" x14ac:dyDescent="0.25">
      <c r="A22" s="11" t="s">
        <v>170</v>
      </c>
      <c r="B22" s="47">
        <f>=INDEX(B:B,MATCH("Business beta",A:A,0))*(1+(1-INDEX(B:B,MATCH("Marginal tax rate",A:A,0)))*INDEX(B:B,MATCH("Debt-to-equity ratio",A:A,0)))*(1-INDEX(B:B,MATCH("Cash-to-firm ratio",A:A,0)))</f>
      </c>
      <c r="C22" s="12"/>
      <c r="D22" s="12"/>
      <c r="E22" s="12"/>
    </row>
    <row r="24" spans="1:5" s="17" customFormat="1" x14ac:dyDescent="0.25">
      <c r="A24" s="18" t="s">
        <v>171</v>
      </c>
      <c r="B24" s="31"/>
      <c r="C24" s="31"/>
      <c r="D24" s="31"/>
      <c r="E24" s="31"/>
    </row>
    <row r="25" spans="1:5" x14ac:dyDescent="0.25">
      <c r="A25" s="11" t="s">
        <v>172</v>
      </c>
      <c r="B25" s="12" t="s">
        <v>173</v>
      </c>
      <c r="C25" s="12"/>
      <c r="D25" s="12"/>
      <c r="E25" s="12"/>
    </row>
    <row r="26" spans="1:5" x14ac:dyDescent="0.25">
      <c r="A26" s="11" t="s">
        <v>174</v>
      </c>
      <c r="B26" s="12" t="s">
        <v>175</v>
      </c>
      <c r="C26" s="12"/>
      <c r="D26" s="12"/>
      <c r="E26" s="12"/>
    </row>
    <row r="27" spans="1:5" x14ac:dyDescent="0.25">
      <c r="A27" s="11" t="s">
        <v>176</v>
      </c>
      <c r="B27" s="12" t="s">
        <v>177</v>
      </c>
      <c r="C27" s="12"/>
      <c r="D27" s="12"/>
      <c r="E27" s="12"/>
    </row>
    <row r="28" spans="1:5" x14ac:dyDescent="0.25">
      <c r="A28" s="11" t="s">
        <v>178</v>
      </c>
      <c r="B28" s="12" t="s">
        <v>179</v>
      </c>
      <c r="C28" s="12"/>
      <c r="D28" s="12"/>
      <c r="E28" s="12"/>
    </row>
    <row r="29" spans="1:5" x14ac:dyDescent="0.25">
      <c r="A29" s="11" t="s">
        <v>180</v>
      </c>
      <c r="B29" s="12" t="s">
        <v>181</v>
      </c>
      <c r="C29" s="12"/>
      <c r="D29" s="12"/>
      <c r="E29" s="12"/>
    </row>
    <row r="31" spans="1:5" s="17" customFormat="1" x14ac:dyDescent="0.25">
      <c r="A31" s="18" t="s">
        <v>182</v>
      </c>
      <c r="B31" s="31"/>
      <c r="C31" s="31"/>
      <c r="D31" s="31"/>
      <c r="E31" s="31"/>
    </row>
    <row r="32" spans="1:5" s="32" customFormat="1" x14ac:dyDescent="0.25">
      <c r="A32" s="21" t="s">
        <v>183</v>
      </c>
      <c r="B32" s="22" t="s">
        <v>163</v>
      </c>
      <c r="C32" s="22" t="s">
        <v>165</v>
      </c>
      <c r="D32" s="22" t="s">
        <v>184</v>
      </c>
      <c r="E32" s="22" t="s">
        <v>185</v>
      </c>
    </row>
    <row r="33" spans="1:5" x14ac:dyDescent="0.25">
      <c r="A33" s="11" t="s">
        <v>186</v>
      </c>
      <c r="B33" s="20">
        <v>7875</v>
      </c>
      <c r="C33" s="25">
        <f>B33/SUM(B33:B37)</f>
      </c>
      <c r="D33" s="19">
        <v>0.0978</v>
      </c>
      <c r="E33" s="19">
        <v>0.3127</v>
      </c>
    </row>
    <row r="34" spans="1:5" x14ac:dyDescent="0.25">
      <c r="A34" s="11" t="s">
        <v>159</v>
      </c>
      <c r="B34" s="20">
        <v>61257</v>
      </c>
      <c r="C34" s="25">
        <f>B34/SUM(B33:B37)</f>
      </c>
      <c r="D34" s="19">
        <v>0.0453</v>
      </c>
      <c r="E34" s="19">
        <v>0.21</v>
      </c>
    </row>
    <row r="35" spans="1:5" x14ac:dyDescent="0.25">
      <c r="A35" s="11" t="s">
        <v>187</v>
      </c>
      <c r="B35" s="20">
        <v>20573</v>
      </c>
      <c r="C35" s="25">
        <f>B35/SUM(B33:B37)</f>
      </c>
      <c r="D35" s="19">
        <v>0.0507</v>
      </c>
      <c r="E35" s="19">
        <v>0.2</v>
      </c>
    </row>
    <row r="36" spans="1:5" x14ac:dyDescent="0.25">
      <c r="A36" s="11" t="s">
        <v>188</v>
      </c>
      <c r="B36" s="20">
        <v>23684</v>
      </c>
      <c r="C36" s="25">
        <f>B36/SUM(B33:B37)</f>
      </c>
      <c r="D36" s="19">
        <v>0.04</v>
      </c>
      <c r="E36" s="19">
        <v>0.17</v>
      </c>
    </row>
    <row r="37" spans="1:5" x14ac:dyDescent="0.25">
      <c r="A37" s="11" t="s">
        <v>189</v>
      </c>
      <c r="B37" s="20">
        <v>17108</v>
      </c>
      <c r="C37" s="25">
        <f>B37/SUM(B33:B37)</f>
      </c>
      <c r="D37" s="19">
        <v>0.0526</v>
      </c>
      <c r="E37" s="19">
        <v>0.25</v>
      </c>
    </row>
    <row r="39" spans="1:5" x14ac:dyDescent="0.25">
      <c r="A39" s="11" t="s">
        <v>190</v>
      </c>
      <c r="B39" s="25">
        <f>=SUMPRODUCT(INDEX(C:C,MATCH("Country",A:A,0)+1):INDEX(C:C,MATCH(TRUE,INDEX((INDEX(A:A,MATCH("Country",A:A,0)+1):A1048576)="",0),0)+MATCH("Country",A:A,0)+1-1),INDEX(D:D,MATCH("Country",A:A,0)+1):INDEX(D:D,MATCH(TRUE,INDEX((INDEX(A:A,MATCH("Country",A:A,0)+1):A1048576)="",0),0)+MATCH("Country",A:A,0)+1-1))</f>
      </c>
      <c r="C39" s="12"/>
      <c r="D39" s="12"/>
      <c r="E39" s="12"/>
    </row>
    <row r="41" spans="1:5" s="17" customFormat="1" x14ac:dyDescent="0.25">
      <c r="A41" s="18" t="s">
        <v>191</v>
      </c>
      <c r="B41" s="31"/>
      <c r="C41" s="31"/>
      <c r="D41" s="31"/>
      <c r="E41" s="31"/>
    </row>
    <row r="42" spans="1:5" x14ac:dyDescent="0.25">
      <c r="A42" s="11" t="s">
        <v>161</v>
      </c>
      <c r="B42" s="25">
        <f>=INDEX(B:B,MATCH("Risk-free rate",A:A,0))</f>
      </c>
      <c r="C42" s="12"/>
      <c r="D42" s="12"/>
      <c r="E42" s="12"/>
    </row>
    <row r="43" spans="1:5" x14ac:dyDescent="0.25">
      <c r="A43" s="11" t="s">
        <v>192</v>
      </c>
      <c r="B43" s="25">
        <f>=INDEX(B:B,MATCH("Equity beta",A:A,0))*INDEX(B:B,MATCH("Equity risk premium",A:A,0))</f>
      </c>
      <c r="C43" s="12"/>
      <c r="D43" s="12"/>
      <c r="E43" s="12"/>
    </row>
    <row r="44" spans="1:5" x14ac:dyDescent="0.25">
      <c r="A44" s="11" t="s">
        <v>170</v>
      </c>
      <c r="B44" s="47">
        <f>=INDEX(B:B,MATCH("Equity beta",A:A,0))</f>
      </c>
      <c r="C44" s="12"/>
      <c r="D44" s="12"/>
      <c r="E44" s="12"/>
    </row>
    <row r="45" spans="1:5" x14ac:dyDescent="0.25">
      <c r="A45" s="11" t="s">
        <v>193</v>
      </c>
      <c r="B45" s="25">
        <f>=INDEX(B:B,MATCH("Company equity risk premium",A:A,0))</f>
      </c>
      <c r="C45" s="12"/>
      <c r="D45" s="12"/>
      <c r="E45" s="12"/>
    </row>
    <row r="46" spans="1:5" x14ac:dyDescent="0.25">
      <c r="A46" s="11" t="s">
        <v>155</v>
      </c>
      <c r="B46" s="25">
        <f>=INDEX(B:B,MATCH("Risk-free rate",A:A,0))+INDEX(B:B,MATCH("Equity beta",A:A,0))*INDEX(B:B,MATCH("Equity risk premium",A:A,0))</f>
      </c>
      <c r="C46" s="12"/>
      <c r="D46" s="12"/>
      <c r="E46" s="12"/>
    </row>
    <row r="48" spans="1:5" s="17" customFormat="1" x14ac:dyDescent="0.25">
      <c r="A48" s="18" t="s">
        <v>194</v>
      </c>
      <c r="B48" s="31"/>
      <c r="C48" s="31"/>
      <c r="D48" s="31"/>
      <c r="E48" s="31"/>
    </row>
    <row r="49" spans="1:5" x14ac:dyDescent="0.25">
      <c r="A49" s="11" t="s">
        <v>161</v>
      </c>
      <c r="B49" s="25">
        <f>=INDEX(B:B,MATCH("Risk-free rate",A:A,0))</f>
      </c>
      <c r="C49" s="12"/>
      <c r="D49" s="12"/>
      <c r="E49" s="12"/>
    </row>
    <row r="50" spans="1:5" x14ac:dyDescent="0.25">
      <c r="A50" s="11" t="s">
        <v>195</v>
      </c>
      <c r="B50" s="25">
        <f>=INDEX(B:B,MATCH("Stable beta (clamped)",A:A,0))*INDEX(B:B,MATCH("Equity risk premium",A:A,0))</f>
      </c>
      <c r="C50" s="12"/>
      <c r="D50" s="12"/>
      <c r="E50" s="12"/>
    </row>
    <row r="51" spans="1:5" x14ac:dyDescent="0.25">
      <c r="A51" s="11" t="s">
        <v>196</v>
      </c>
      <c r="B51" s="47">
        <f>=MIN(MAX(INDEX(B:B,MATCH("Equity beta",A:A,0)),0.8),1.2)</f>
      </c>
      <c r="C51" s="12"/>
      <c r="D51" s="12"/>
      <c r="E51" s="12"/>
    </row>
    <row r="52" spans="1:5" x14ac:dyDescent="0.25">
      <c r="A52" s="11" t="s">
        <v>193</v>
      </c>
      <c r="B52" s="25">
        <f>=INDEX(B:B,MATCH("Company equity risk premium",A:A,0))</f>
      </c>
      <c r="C52" s="12"/>
      <c r="D52" s="12"/>
      <c r="E52" s="12"/>
    </row>
    <row r="53" spans="1:5" x14ac:dyDescent="0.25">
      <c r="A53" s="11" t="s">
        <v>197</v>
      </c>
      <c r="B53" s="25">
        <f>=INDEX(B:B,MATCH("Risk-free rate",A:A,0))+INDEX(B:B,MATCH("Stable beta (clamped)",A:A,0))*INDEX(B:B,MATCH("Equity risk premium",A:A,0))</f>
      </c>
      <c r="C53" s="12"/>
      <c r="D53" s="12"/>
      <c r="E53" s="12"/>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vt:lpstr>
      <vt:lpstr>Summary</vt:lpstr>
      <vt:lpstr>Assumptions</vt:lpstr>
      <vt:lpstr>DCF model</vt:lpstr>
      <vt:lpstr>Other claims</vt:lpstr>
      <vt:lpstr>Financials</vt:lpstr>
      <vt:lpstr>Segments</vt:lpstr>
      <vt:lpstr>Multiples</vt:lpstr>
      <vt:lpstr>Cost of equity</vt:lpstr>
      <vt:lpstr>Scenarios</vt:lpstr>
      <vt:lpstr>Sensitivity</vt:lpstr>
      <vt:lpstr>Reverse DCF</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dc:creator>
  <dc:title/>
  <dc:subject/>
  <dc:description/>
  <cp:keywords/>
  <cp:category/>
  <cp:lastModifiedBy>Unknown</cp:lastModifiedBy>
  <dcterms:created xsi:type="dcterms:W3CDTF">2026-02-23T00:27:27Z</dcterms:created>
  <dcterms:modified xsi:type="dcterms:W3CDTF">2026-02-23T00:27:27Z</dcterms:modified>
</cp:coreProperties>
</file>