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<sst xmlns="http://schemas.openxmlformats.org/spreadsheetml/2006/main" count="325" uniqueCount="240">
  <si>
    <t>ValuationBot.ai</t>
  </si>
  <si>
    <t>Tesla, Inc. (TSLA)</t>
  </si>
  <si>
    <t>Analysis ID: fa60139d-b718-4eef-a069-5374b97c6d82</t>
  </si>
  <si>
    <t>Created: Jan 25, 2026 10:17am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</si>
  <si>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</si>
  <si>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</si>
  <si>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</si>
  <si>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</si>
  <si>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</si>
  <si>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</si>
  <si>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</si>
  <si>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</si>
  <si>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Tesla, Inc.</t>
  </si>
  <si>
    <t>Ticker</t>
  </si>
  <si>
    <t>TSLA</t>
  </si>
  <si>
    <t>Created</t>
  </si>
  <si>
    <t>Jan 25, 2026 10:17am</t>
  </si>
  <si>
    <t>Current price</t>
  </si>
  <si>
    <t>Estimated value</t>
  </si>
  <si>
    <t>Upside</t>
  </si>
  <si>
    <t>Expected IRR</t>
  </si>
  <si>
    <t>Currency</t>
  </si>
  <si>
    <t>USD</t>
  </si>
  <si>
    <t>Valuation date</t>
  </si>
  <si>
    <t>Latest financials date</t>
  </si>
  <si>
    <t>Latest filing</t>
  </si>
  <si>
    <t>10-Q Oct 22, 2025</t>
  </si>
  <si>
    <t>Industry</t>
  </si>
  <si>
    <t>Auto - Manufacturers</t>
  </si>
  <si>
    <t>Sector</t>
  </si>
  <si>
    <t>Consumer Cyclical</t>
  </si>
  <si>
    <t>Recommendation</t>
  </si>
  <si>
    <t>Strong Sell</t>
  </si>
  <si>
    <t>Exchange</t>
  </si>
  <si>
    <t>NASDAQ</t>
  </si>
  <si>
    <t>Market cap</t>
  </si>
  <si>
    <t>Share count</t>
  </si>
  <si>
    <t>Assumptions</t>
  </si>
  <si>
    <t>Valuation story</t>
  </si>
  <si>
    <t>Tesla sits in a late growth stage. It grows revenue mainly through energy storage scale, services and charging, and gradual software take-up, while automotive unit growth slows and pricing stays competitive. Margins recover only slowly because Tesla keeps spending heavily on AI, autonomy, and new product ramps, and because tariffs and incentives create noise in near-term profitability. The base case assumes Tesla keeps a brand and ecosystem edge, but it shares more of the EV profit pool with global rivals as the market matures.</t>
  </si>
  <si>
    <t>Revenue growth rate</t>
  </si>
  <si>
    <t>I treat Tesla as a late growth firm that now grows more through mix shift than pure unit growth. The analyst revenue path implies a move from roughly $95bn to about $206bn over five years, which supports a mid-teens five-year growth rate despite tougher EV competition and weaker pricing power. I set growth at a level that allows energy storage, services, and software to lift the blended top line while automotive growth slows versus the earlier hyper-growth phase.</t>
  </si>
  <si>
    <t>Stable growth rate</t>
  </si>
  <si>
    <t>I assume Tesla matures into a large global manufacturer and energy platform, so long-run growth should track the wider economy rather than keep compounding at high rates. I keep terminal growth below the 3.927% risk-free rate to respect the hard constraint and to reflect market saturation in autos. The remaining upside then comes mainly from profitability and mix, not perpetual high growth.</t>
  </si>
  <si>
    <t>Years to stability</t>
  </si>
  <si>
    <t>I use a 10-year fade because Tesla already operates at global scale, but it still has credible medium-term runway in energy storage and software. With Y=10, the first-half horizon is five years, and the analyst revenue trajectory supports a plausible five-year mid-teens CAGR before growth tapers. This also fits the competitive reality that EV demand and pricing will normalise as rivals scale.</t>
  </si>
  <si>
    <t>Sales-to-equity ratio</t>
  </si>
  <si>
    <t>Tesla has stayed around 1.1–1.5 historically on an intangible-adjusted basis, and the industry median sits near 1.19. I assume modest improvement from better asset turns and more software and services revenue, but I do not assume an extreme jump because management signals heavy capex for AI infrastructure and energy capacity. That mix makes the business only moderately capital-light even after capitalising intangibles.</t>
  </si>
  <si>
    <t>Stable net profit margin</t>
  </si>
  <si>
    <t>I expect margins to recover from the recent trough but not return to the prior peak because EV price pressure looks structural and regulatory credits fade over time. Energy storage and software raise blended margins, and Tesla has scale benefits, but autos still dominate revenue and stay cyclical. A 12% steady margin sits below Tesla’s best recent adjusted level and aligns with a premium position versus the industry median without assuming a permanent outlier outcome.</t>
  </si>
  <si>
    <t>FY+1 net profit margin</t>
  </si>
  <si>
    <t>Analyst net income for the next year implies a much lower reported margin than the adjusted 2024 level, and the qualitative notes point to near-term pressure from pricing, ramp costs, tariffs, and elevated AI spend. I set FY+1 adjusted margin below 2024 to reflect that squeeze while still allowing some benefit from restructuring and energy mix. This creates a credible bridge toward recovery rather than an immediate snap-back.</t>
  </si>
  <si>
    <t>Margin convergence</t>
  </si>
  <si>
    <t>I assume a multi-year repair cycle because Tesla must work through product ramp inefficiencies, higher depreciation from new investment, and ongoing AI and autonomy spending. Energy storage scale and services growth should lift margins gradually, but competitive pricing in autos limits the speed of recovery. Six years gives time for mix shift to matter while staying within the 10-year growth fade.</t>
  </si>
  <si>
    <t>Stable ROE</t>
  </si>
  <si>
    <t>I assume Tesla sustains value creation because its ecosystem, charging network, and energy platform support returns above the stable cost of equity. However, I also expect ROE to settle well below the recent peak because margins and growth both normalise and equity continues to build. A 14% stable ROE stays above the 9.65% stable cost of equity and sits around the upper quartile for the industry without assuming a permanent superstar outcome.</t>
  </si>
  <si>
    <t>Credit rating</t>
  </si>
  <si>
    <t>A3/A-</t>
  </si>
  <si>
    <t>Tesla has strong liquidity, modest net leverage, and flexibility to fund investment even with volatile free cash flow timing. The business risk remains higher than a classic A-rated industrial due to cyclicality and policy exposure, but the balance sheet strength supports an upper-medium grade rating in the base case. I avoid AA because earnings and margins show more volatility than typical high-grade defensives.</t>
  </si>
  <si>
    <t>Recovery ratio</t>
  </si>
  <si>
    <t>I assume a mid-range recovery because Tesla holds meaningful tangible assets in plants, equipment, and energy infrastructure, but much of the competitive edge sits in software and brand which recover less well in distress. The direct-sales model and integrated ecosystem can preserve some going-concern value, yet autos remain cyclical and inventory can lose value quickly. A 55% ratio reflects that balance.</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</si>
  <si>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</si>
  <si>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</si>
  <si>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</si>
  <si>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</si>
  <si>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</si>
  <si>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</si>
  <si>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</si>
  <si>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</si>
  <si>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</si>
  <si>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</si>
  <si>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</si>
  <si>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</si>
  <si>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</si>
  <si>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</si>
  <si>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</si>
  <si>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</si>
  <si>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</si>
  <si>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</si>
  <si>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</si>
  <si>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</si>
  <si>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</si>
  <si>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</si>
  <si>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</si>
  <si>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</si>
  <si>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</si>
  <si>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</si>
  <si>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</si>
  <si>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</si>
  <si>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</si>
  <si>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</si>
  <si>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</si>
  <si>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</si>
  <si>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</si>
  <si>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</si>
  <si>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</si>
  <si>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</si>
  <si>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</si>
  <si>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</si>
  <si>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</si>
  <si>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</si>
  <si>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</si>
  <si>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</si>
  <si>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</si>
  <si>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</si>
  <si>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I used the $345m court-awarded plaintiff counsel fee from the Delaware Court of Chancery opinion dated December 2nd 2024 and applied a 45% probability because Tesla appealed. I treated this as a non-operating legal contingency and set the expected value to $155.3m, rounded to $156.1m.</t>
  </si>
  <si>
    <t>Environmental Liabilities</t>
  </si>
  <si>
    <t>Other</t>
  </si>
  <si>
    <t>I used the $176m plaintiff counsel fee awarded on January 8th 2025 for the directors’ compensation derivative case and applied a 52% probability because Tesla stated it intends to appeal the fee award. I set the expected value to $91.5m, rounded to $92.0m.</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</si>
  <si>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</si>
  <si>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</si>
  <si>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</si>
  <si>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</si>
  <si>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</si>
  <si>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</si>
  <si>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</si>
  <si>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</si>
  <si>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</si>
  <si>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</si>
  <si>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</si>
  <si>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</si>
  <si>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</si>
  <si>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FY2024</t>
  </si>
  <si>
    <t>FY2023</t>
  </si>
  <si>
    <t>FY2022</t>
  </si>
  <si>
    <t>CHINA</t>
  </si>
  <si>
    <t>Other Countries</t>
  </si>
  <si>
    <t>UNITED STATES</t>
  </si>
  <si>
    <t>Total</t>
  </si>
  <si>
    <t>Operating segments</t>
  </si>
  <si>
    <t>Automotive</t>
  </si>
  <si>
    <t>Energy Generation And Storage Segment</t>
  </si>
  <si>
    <t>Services And Other</t>
  </si>
  <si>
    <t>Multiples</t>
  </si>
  <si>
    <t>Metric</t>
  </si>
  <si>
    <t>Company multiple</t>
  </si>
  <si>
    <t>Percentile of industry multiples</t>
  </si>
  <si>
    <t>Price-to-sales</t>
  </si>
  <si>
    <t>15.3x</t>
  </si>
  <si>
    <t>≥90th</t>
  </si>
  <si>
    <t>Price-to-earnings</t>
  </si>
  <si>
    <t>156.2x</t>
  </si>
  <si>
    <t>Price-to-book</t>
  </si>
  <si>
    <t>17.1x</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</si>
  <si>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</si>
  <si>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</si>
  <si>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</si>
  <si>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</si>
  <si>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</si>
  <si>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</si>
  <si>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</si>
  <si>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</si>
  <si>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</si>
  <si>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</si>
  <si>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</si>
  <si>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</si>
  <si>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</si>
  <si>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</si>
  <si>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</si>
  <si>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</si>
  <si>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MC/Sales</t>
  </si>
  <si>
    <t>Weight</t>
  </si>
  <si>
    <t>Equity beta</t>
  </si>
  <si>
    <t>Equity risk premium (ERP) calculation</t>
  </si>
  <si>
    <t>Country</t>
  </si>
  <si>
    <t>ERP</t>
  </si>
  <si>
    <t>Tax rate</t>
  </si>
  <si>
    <t>China</t>
  </si>
  <si>
    <t>Global (ex United States)</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</si>
  <si>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</si>
  <si>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</si>
  <si>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</si>
  <si>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</si>
  <si>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</si>
  <si>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</si>
  <si>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</si>
  <si>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</si>
  <si>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</si>
  <si>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</si>
  <si>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</si>
  <si>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</si>
  <si>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</si>
  <si>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</si>
  <si>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</si>
  <si>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</si>
  <si>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</si>
  <si>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Tesla stays in a late growth stage, but it executes better than the market expects. It scales energy storage faster and holds strong segment margins, helped by manufacturing learning and incentives, while services and charging expand as the fleet grows. It monetises Full Self-Driving software and other subscriptions more effectively, so recurring revenue becomes a material profit driver rather than a side line. This outcome remains plausible because Tesla already shows rising energy mix, large deferred revenue and long-duration energy obligations, and it has the liquidity to fund the AI and capacity build needed to capture the upside.</t>
  </si>
  <si>
    <t>Value driver</t>
  </si>
  <si>
    <t>I assume Tesla delivers a stronger mix shift than in the base case, with energy storage deployments scaling from a higher starting point and software and charging revenues compounding faster. The analyst path already implies a strong multi-year rise in revenue from roughly $95bn to about $206bn over five years, so I push the bull case above that central path but keep it credible for a firm that already operates at global scale. This rate still allows for competitive EV pricing pressure because the upside comes more from energy, services, and software than from pure vehicle pricing.</t>
  </si>
  <si>
    <t>I assume Tesla matures into a very large global mobility and energy platform, so long-run growth tracks broad nominal economic growth rather than staying in a high-growth regime. I set terminal growth just below the 3.927% risk-free rate to respect the hard constraint and to reflect eventual saturation in autos. The bull case earns its upside from execution and mix, not from an unrealistic perpetual growth rate.</t>
  </si>
  <si>
    <t>I treat Tesla as late growth with extra runway in energy storage, charging, and software, so I extend the fade period versus the base case. With Y=12, the first-half horizon is six years, and a low-20s CAGR over that window is plausible if energy backlog converts well and software monetisation improves, even if automotive growth moderates. I still force a taper after the first half because competition and market maturity will bite over time.</t>
  </si>
  <si>
    <t>I assume Tesla becomes more capital efficient than in the base case as software, services, and energy scale raise sales without matching growth in book equity. Tesla’s adjusted ratio has sat near 1.1–1.5 and the industry median is near 1.19, so 1.35 reflects best-in-class execution rather than a step-change that ignores capex needs. Heavy AI and energy capex remains real, so I do not push this to an extreme capital-light level.</t>
  </si>
  <si>
    <t>I assume Tesla rebuilds pricing power through a higher share of software, charging, and energy storage profits, while restructuring and scale reduce unit costs and overhead drag. This steady margin sits above the base case and above the industry upper quartile, but it stays below Tesla’s recent adjusted peak, which keeps the story plausible given auto cyclicality and warranty costs. The bull case requires that energy margins stay strong and that software revenue carries high incremental margins after the AI spend phase.</t>
  </si>
  <si>
    <t>I assume near-term pressure remains, but I expect a quicker lift than in the base case because restructuring actions flow through and energy and services mix keeps improving. Analysts’ reported net income margins look lower partly because they expense large R&amp;D and sales and marketing costs, while my adjusted numbers capitalise those intangibles, so an adjusted margin near the high single digits can still fit the same revenue trajectory. This level gives a credible bridge from the recent trough towards the higher stable margin without assuming an instant snap-back to peak profitability.</t>
  </si>
  <si>
    <t>I assume Tesla needs time to convert AI and autonomy investment into repeatable software profit, and to complete learning curves on newer products and energy scaling. The bull case still converges within the growth fade, but it takes several years because the cost base includes high depreciation and ongoing R&amp;D that will not drop overnight. A longer convergence also fits the idea that mix shift drives the margin upside, and mix changes take time.</t>
  </si>
  <si>
    <t>I assume Tesla sustains strong value creation because its ecosystem, software attach, and energy platform support premium profitability and asset turns in maturity. This stable ROE stays well above the 9.65% stable cost of equity, which matches a bull case where the moat proves durable rather than fading quickly. I keep it below prior peak ROE to reflect a larger equity base and a more mature competitive environment.</t>
  </si>
  <si>
    <t>A1/A+</t>
  </si>
  <si>
    <t>I assume strong liquidity persists and operating cash flow grows faster than reinvestment once the biggest AI and energy build-out phase passes. That supports a stronger rating than the base case even though the business remains cyclical, because Tesla can fund growth with limited reliance on debt. I stop at A1 rather than AA because earnings still hinge on hardware cycles, policy noise, and execution on autonomy monetisation.</t>
  </si>
  <si>
    <t>I assume a slightly higher recovery than the base case because the bull scenario implies a larger base of productive tangible assets in factories, energy infrastructure, and a more established services network. The integrated ecosystem can preserve going-concern value, even though some value still sits in software and brand which recover less well in distress. A 60% recovery stays within a realistic range for an industrial with meaningful hard assets.</t>
  </si>
  <si>
    <t>Bear-case scenario</t>
  </si>
  <si>
    <t>I assume Tesla shifts into early maturity under pressure. Competition forces deeper and longer price cuts, and policy support for electric vehicles and energy credits weakens, so growth slows and becomes more cyclical. Tesla keeps investing heavily in artificial intelligence and new product ramps, but software take-up and robotaxi revenue arrive later than hoped, so costs stay high while revenue mix improves only slowly. Energy storage still grows, but it cannot fully offset weaker automotive profitability, so Tesla settles into average-to-good industry economics rather than a sustained standout.</t>
  </si>
  <si>
    <t>I assume Tesla moves from late growth into early maturity faster because price competition and weaker incentives cap unit growth, while energy growth slows as credits fade. The analyst revenue path already implies a mid-teens five-year CAGR in the base case, so I cut that to a high-single-digit five-year growth rate in a bear case and let mix shift help but not rescue the top line.</t>
  </si>
  <si>
    <t>I treat Tesla as a large global industrial and energy supplier in maturity, so long-run growth tracks nominal economic growth, not EV adoption hype. I set terminal growth just below the 3.927% risk-free rate to meet the hard constraint and to reflect a more saturated auto market.</t>
  </si>
  <si>
    <t>I assume the market forces Tesla to mature sooner because the auto business stays cyclical and rivals close the technology gap, so the high-growth phase fades faster. With Y=8, the first-half horizon is four years, and an 8% four-year growth rate fits a bear view that sits below the analyst medium-term trajectory but still allows some contribution from energy and services.</t>
  </si>
  <si>
    <t>I assume Tesla needs heavier reinvestment to defend share and fund AI and capacity, while weaker volumes reduce asset turns, so capital efficiency slips. This pushes the ratio below both Tesla’s recent adjusted level and the industry median, which fits a bear case with under-utilised capacity and continued build-out.</t>
  </si>
  <si>
    <t>I assume pricing pressure in autos proves sticky and software take-up stays slower, so Tesla cannot rebuild margins to prior highs even after restructuring. A mid-single-digit to high-single-digit steady margin sits only slightly above the industry median and reflects a business that keeps some brand and ecosystem edge but shares most of the profit pool with rivals.</t>
  </si>
  <si>
    <t>I assume near-term pressure persists from lower average selling prices, ramp inefficiencies, tariffs, and high AI spending, and I allow for occasional write-downs and warranty drag. Analyst net income margins look weak versus Tesla’s prior adjusted peak, so I set FY+1 adjusted margin lower than the recent adjusted level to reflect that squeeze, before any slow repair.</t>
  </si>
  <si>
    <t>I assume Tesla takes several years to re-balance costs because depreciation and AI spending stay high while pricing remains competitive. I fade margins to the stable level over five years so the recovery stays gradual but finishes within the shorter eight-year growth fade.</t>
  </si>
  <si>
    <t>I assume Tesla still earns above its stable cost of equity only by a small margin because it keeps some ecosystem benefits, but competition and capital intensity compress returns. A 10% stable ROE sits near the industry upper quartile and reflects a mature manufacturer with limited pricing power, not a persistent outlier.</t>
  </si>
  <si>
    <t>Baa2/BBB</t>
  </si>
  <si>
    <t>I assume Tesla keeps strong liquidity, but earnings volatility rises as margins compress and reinvestment stays heavy, which weakens fixed-charge coverage through the cycle. That profile fits a lower investment-grade rating rather than the stronger base-case rating, without implying distress because cash balances and asset backing remain meaningful.</t>
  </si>
  <si>
    <t>I assume more downside in distress value because more of Tesla’s edge sits in software, brand, and network effects, which recover less well than plants and equipment. I still assume a moderate recovery because Tesla has large tangible factories and energy assets that retain resale or going-concern value even in a downturn.</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</si>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</sst>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2">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E6F9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6">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164" fontId="7" fillId="6"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164" fontId="7" fillId="11"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fa60139d-b718-4eef-a069-5374b97c6d82/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177</v>
      </c>
      <c r="B1" s="49"/>
      <c r="C1" s="50"/>
    </row>
    <row r="2" spans="1:3" x14ac:dyDescent="0.25">
      <c r="A2" s="11" t="s">
        <v>10</v>
      </c>
      <c r="B2" s="35"/>
      <c r="C2" s="51"/>
    </row>
    <row r="4" spans="1:3" s="32" customFormat="1" x14ac:dyDescent="0.25">
      <c r="A4" s="21" t="s">
        <v>178</v>
      </c>
      <c r="B4" s="52" t="s">
        <v>179</v>
      </c>
      <c r="C4" s="53" t="s">
        <v>180</v>
      </c>
    </row>
    <row r="5" spans="1:3" x14ac:dyDescent="0.25">
      <c r="A5" s="11" t="s">
        <v>181</v>
      </c>
      <c r="B5" s="13">
        <v>25.83116250075319</v>
      </c>
      <c r="C5" s="54">
        <v>-0.9424772580484719</v>
      </c>
    </row>
    <row r="6" spans="1:3" x14ac:dyDescent="0.25">
      <c r="A6" s="11" t="s">
        <v>182</v>
      </c>
      <c r="B6" s="13">
        <v>-21.67260568245527</v>
      </c>
      <c r="C6" s="54">
        <v>-1</v>
      </c>
    </row>
    <row r="7" spans="1:3" x14ac:dyDescent="0.25">
      <c r="A7" s="11" t="s">
        <v>183</v>
      </c>
      <c r="B7" s="13">
        <v>105.2347406772486</v>
      </c>
      <c r="C7" s="54">
        <v>-0.7656555010972952</v>
      </c>
    </row>
    <row r="9" spans="1:3" x14ac:dyDescent="0.25">
      <c r="A9" s="18" t="s">
        <v>184</v>
      </c>
      <c r="B9" s="35"/>
      <c r="C9" s="51"/>
    </row>
    <row r="10" spans="1:3" x14ac:dyDescent="0.25">
      <c r="A10" s="11" t="s">
        <v>185</v>
      </c>
      <c r="B10" s="13">
        <v>105.2347406772486</v>
      </c>
      <c r="C10" s="51"/>
    </row>
    <row r="11" spans="1:3" x14ac:dyDescent="0.25">
      <c r="A11" s="11" t="s">
        <v>180</v>
      </c>
      <c r="B11" s="14">
        <v>-0.7656555010972952</v>
      </c>
      <c r="C11" s="51"/>
    </row>
    <row r="12" spans="1:3" x14ac:dyDescent="0.25">
      <c r="A12" s="11" t="s">
        <v>186</v>
      </c>
      <c r="B12" s="35"/>
      <c r="C12" s="51"/>
    </row>
    <row r="13" spans="1:3" s="17" customFormat="1" x14ac:dyDescent="0.25">
      <c r="A13" s="18" t="s">
        <v>187</v>
      </c>
      <c r="B13" s="55" t="s">
        <v>96</v>
      </c>
      <c r="C13" s="56" t="s">
        <v>99</v>
      </c>
    </row>
    <row r="14" spans="1:3" x14ac:dyDescent="0.25">
      <c r="A14" s="11" t="s">
        <v>40</v>
      </c>
      <c r="B14" s="14">
        <v>0.21</v>
      </c>
      <c r="C14" s="51" t="s">
        <v>188</v>
      </c>
    </row>
    <row r="15" spans="1:3" x14ac:dyDescent="0.25">
      <c r="A15" s="11" t="s">
        <v>42</v>
      </c>
      <c r="B15" s="14">
        <v>0.038</v>
      </c>
      <c r="C15" s="51" t="s">
        <v>189</v>
      </c>
    </row>
    <row r="16" spans="1:3" x14ac:dyDescent="0.25">
      <c r="A16" s="11" t="s">
        <v>44</v>
      </c>
      <c r="B16" s="16">
        <v>12</v>
      </c>
      <c r="C16" s="51" t="s">
        <v>190</v>
      </c>
    </row>
    <row r="17" spans="1:3" x14ac:dyDescent="0.25">
      <c r="A17" s="11" t="s">
        <v>46</v>
      </c>
      <c r="B17" s="16">
        <v>1.35</v>
      </c>
      <c r="C17" s="51" t="s">
        <v>191</v>
      </c>
    </row>
    <row r="18" spans="1:3" x14ac:dyDescent="0.25">
      <c r="A18" s="11" t="s">
        <v>48</v>
      </c>
      <c r="B18" s="14">
        <v>0.145</v>
      </c>
      <c r="C18" s="51" t="s">
        <v>192</v>
      </c>
    </row>
    <row r="19" spans="1:3" x14ac:dyDescent="0.25">
      <c r="A19" s="11" t="s">
        <v>50</v>
      </c>
      <c r="B19" s="14">
        <v>0.09</v>
      </c>
      <c r="C19" s="51" t="s">
        <v>193</v>
      </c>
    </row>
    <row r="20" spans="1:3" x14ac:dyDescent="0.25">
      <c r="A20" s="11" t="s">
        <v>52</v>
      </c>
      <c r="B20" s="16">
        <v>7</v>
      </c>
      <c r="C20" s="51" t="s">
        <v>194</v>
      </c>
    </row>
    <row r="21" spans="1:3" x14ac:dyDescent="0.25">
      <c r="A21" s="11" t="s">
        <v>54</v>
      </c>
      <c r="B21" s="14">
        <v>0.18</v>
      </c>
      <c r="C21" s="51" t="s">
        <v>195</v>
      </c>
    </row>
    <row r="22" spans="1:3" x14ac:dyDescent="0.25">
      <c r="A22" s="11" t="s">
        <v>56</v>
      </c>
      <c r="B22" s="35" t="s">
        <v>196</v>
      </c>
      <c r="C22" s="51" t="s">
        <v>197</v>
      </c>
    </row>
    <row r="23" spans="1:3" x14ac:dyDescent="0.25">
      <c r="A23" s="11" t="s">
        <v>59</v>
      </c>
      <c r="B23" s="14">
        <v>0.6</v>
      </c>
      <c r="C23" s="51" t="s">
        <v>198</v>
      </c>
    </row>
    <row r="25" spans="1:3" x14ac:dyDescent="0.25">
      <c r="A25" s="18" t="s">
        <v>199</v>
      </c>
      <c r="B25" s="35"/>
      <c r="C25" s="51"/>
    </row>
    <row r="26" spans="1:3" x14ac:dyDescent="0.25">
      <c r="A26" s="11" t="s">
        <v>185</v>
      </c>
      <c r="B26" s="13">
        <v>-21.67260568245527</v>
      </c>
      <c r="C26" s="51"/>
    </row>
    <row r="27" spans="1:3" x14ac:dyDescent="0.25">
      <c r="A27" s="11" t="s">
        <v>180</v>
      </c>
      <c r="B27" s="14">
        <v>-1</v>
      </c>
      <c r="C27" s="51"/>
    </row>
    <row r="28" spans="1:3" x14ac:dyDescent="0.25">
      <c r="A28" s="11" t="s">
        <v>200</v>
      </c>
      <c r="B28" s="35"/>
      <c r="C28" s="51"/>
    </row>
    <row r="29" spans="1:3" s="17" customFormat="1" x14ac:dyDescent="0.25">
      <c r="A29" s="18" t="s">
        <v>187</v>
      </c>
      <c r="B29" s="55" t="s">
        <v>96</v>
      </c>
      <c r="C29" s="56" t="s">
        <v>99</v>
      </c>
    </row>
    <row r="30" spans="1:3" x14ac:dyDescent="0.25">
      <c r="A30" s="11" t="s">
        <v>40</v>
      </c>
      <c r="B30" s="14">
        <v>0.08</v>
      </c>
      <c r="C30" s="51" t="s">
        <v>201</v>
      </c>
    </row>
    <row r="31" spans="1:3" x14ac:dyDescent="0.25">
      <c r="A31" s="11" t="s">
        <v>42</v>
      </c>
      <c r="B31" s="14">
        <v>0.032</v>
      </c>
      <c r="C31" s="51" t="s">
        <v>202</v>
      </c>
    </row>
    <row r="32" spans="1:3" x14ac:dyDescent="0.25">
      <c r="A32" s="11" t="s">
        <v>44</v>
      </c>
      <c r="B32" s="16">
        <v>8</v>
      </c>
      <c r="C32" s="51" t="s">
        <v>203</v>
      </c>
    </row>
    <row r="33" spans="1:3" x14ac:dyDescent="0.25">
      <c r="A33" s="11" t="s">
        <v>46</v>
      </c>
      <c r="B33" s="16">
        <v>1</v>
      </c>
      <c r="C33" s="51" t="s">
        <v>204</v>
      </c>
    </row>
    <row r="34" spans="1:3" x14ac:dyDescent="0.25">
      <c r="A34" s="11" t="s">
        <v>48</v>
      </c>
      <c r="B34" s="14">
        <v>0.075</v>
      </c>
      <c r="C34" s="51" t="s">
        <v>205</v>
      </c>
    </row>
    <row r="35" spans="1:3" x14ac:dyDescent="0.25">
      <c r="A35" s="11" t="s">
        <v>50</v>
      </c>
      <c r="B35" s="14">
        <v>0.05</v>
      </c>
      <c r="C35" s="51" t="s">
        <v>206</v>
      </c>
    </row>
    <row r="36" spans="1:3" x14ac:dyDescent="0.25">
      <c r="A36" s="11" t="s">
        <v>52</v>
      </c>
      <c r="B36" s="16">
        <v>5</v>
      </c>
      <c r="C36" s="51" t="s">
        <v>207</v>
      </c>
    </row>
    <row r="37" spans="1:3" x14ac:dyDescent="0.25">
      <c r="A37" s="11" t="s">
        <v>54</v>
      </c>
      <c r="B37" s="14">
        <v>0.1</v>
      </c>
      <c r="C37" s="51" t="s">
        <v>208</v>
      </c>
    </row>
    <row r="38" spans="1:3" x14ac:dyDescent="0.25">
      <c r="A38" s="11" t="s">
        <v>56</v>
      </c>
      <c r="B38" s="35" t="s">
        <v>209</v>
      </c>
      <c r="C38" s="51" t="s">
        <v>210</v>
      </c>
    </row>
    <row r="39" spans="1:3" x14ac:dyDescent="0.25">
      <c r="A39" s="11" t="s">
        <v>59</v>
      </c>
      <c r="B39" s="14">
        <v>0.5</v>
      </c>
      <c r="C39" s="51" t="s">
        <v>211</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212</v>
      </c>
      <c r="B1" s="10"/>
      <c r="C1" s="10"/>
      <c r="D1" s="10"/>
      <c r="E1" s="10"/>
      <c r="F1" s="10"/>
      <c r="G1" s="10"/>
      <c r="H1" s="10"/>
    </row>
    <row r="2" spans="1:8" x14ac:dyDescent="0.25">
      <c r="A2" s="11" t="s">
        <v>10</v>
      </c>
      <c r="B2" s="12"/>
      <c r="C2" s="12"/>
      <c r="D2" s="12"/>
      <c r="E2" s="12"/>
      <c r="F2" s="12"/>
      <c r="G2" s="12"/>
      <c r="H2" s="12"/>
    </row>
    <row r="4" spans="1:8" x14ac:dyDescent="0.25">
      <c r="A4" s="21" t="s">
        <v>213</v>
      </c>
      <c r="B4" s="57">
        <v>0.005</v>
      </c>
      <c r="C4" s="57">
        <v>0.01</v>
      </c>
      <c r="D4" s="57">
        <v>0.015</v>
      </c>
      <c r="E4" s="57">
        <v>0.02</v>
      </c>
      <c r="F4" s="57">
        <v>0.025</v>
      </c>
      <c r="G4" s="57">
        <v>0.03</v>
      </c>
      <c r="H4" s="57">
        <v>0.035</v>
      </c>
    </row>
    <row r="5" spans="1:8" x14ac:dyDescent="0.25">
      <c r="A5" s="58">
        <v>0.0465</v>
      </c>
      <c r="B5" s="59">
        <v>129.0757905554788</v>
      </c>
      <c r="C5" s="59">
        <v>146.7405785160378</v>
      </c>
      <c r="D5" s="59">
        <v>169.9132481695026</v>
      </c>
      <c r="E5" s="59">
        <v>201.7071274348372</v>
      </c>
      <c r="F5" s="59">
        <v>248.1315538944821</v>
      </c>
      <c r="G5" s="59">
        <v>322.4797665007679</v>
      </c>
      <c r="H5" s="60">
        <v>461.1634712825954</v>
      </c>
    </row>
    <row r="6" spans="1:8" x14ac:dyDescent="0.25">
      <c r="A6" s="58">
        <v>0.0565</v>
      </c>
      <c r="B6" s="59">
        <v>87.148013135016</v>
      </c>
      <c r="C6" s="59">
        <v>96.79181822124374</v>
      </c>
      <c r="D6" s="59">
        <v>108.6899397589968</v>
      </c>
      <c r="E6" s="59">
        <v>123.7659166474396</v>
      </c>
      <c r="F6" s="59">
        <v>143.5295931897946</v>
      </c>
      <c r="G6" s="59">
        <v>170.6302364141955</v>
      </c>
      <c r="H6" s="59">
        <v>210.1814449969496</v>
      </c>
    </row>
    <row r="7" spans="1:8" x14ac:dyDescent="0.25">
      <c r="A7" s="58">
        <v>0.0665</v>
      </c>
      <c r="B7" s="59">
        <v>59.30926864718734</v>
      </c>
      <c r="C7" s="59">
        <v>65.00159037838097</v>
      </c>
      <c r="D7" s="59">
        <v>71.74790694897196</v>
      </c>
      <c r="E7" s="59">
        <v>79.88613123869375</v>
      </c>
      <c r="F7" s="59">
        <v>89.91697794120212</v>
      </c>
      <c r="G7" s="59">
        <v>102.615470998893</v>
      </c>
      <c r="H7" s="59">
        <v>119.2486485896196</v>
      </c>
    </row>
    <row r="8" spans="1:8" x14ac:dyDescent="0.25">
      <c r="A8" s="58">
        <v>0.0765</v>
      </c>
      <c r="B8" s="59">
        <v>39.61829154801192</v>
      </c>
      <c r="C8" s="59">
        <v>43.14719522073107</v>
      </c>
      <c r="D8" s="59">
        <v>47.21050752974311</v>
      </c>
      <c r="E8" s="59">
        <v>51.94852914895446</v>
      </c>
      <c r="F8" s="59">
        <v>57.55601106090425</v>
      </c>
      <c r="G8" s="59">
        <v>64.31142844214716</v>
      </c>
      <c r="H8" s="59">
        <v>72.62741638995344</v>
      </c>
    </row>
    <row r="9" spans="1:8" x14ac:dyDescent="0.25">
      <c r="A9" s="58">
        <v>0.0865</v>
      </c>
      <c r="B9" s="59">
        <v>25.05203439934357</v>
      </c>
      <c r="C9" s="59">
        <v>27.30770078870333</v>
      </c>
      <c r="D9" s="59">
        <v>29.84775345553283</v>
      </c>
      <c r="E9" s="59">
        <v>32.73510652228344</v>
      </c>
      <c r="F9" s="59">
        <v>36.0531067199632</v>
      </c>
      <c r="G9" s="59">
        <v>39.9145740063446</v>
      </c>
      <c r="H9" s="59">
        <v>44.47610856108724</v>
      </c>
    </row>
    <row r="10" spans="1:8" x14ac:dyDescent="0.25">
      <c r="A10" s="58">
        <v>0.0965</v>
      </c>
      <c r="B10" s="59">
        <v>13.91081990107592</v>
      </c>
      <c r="C10" s="59">
        <v>15.37717553099742</v>
      </c>
      <c r="D10" s="59">
        <v>16.99840931525671</v>
      </c>
      <c r="E10" s="59">
        <v>18.8039026306449</v>
      </c>
      <c r="F10" s="59">
        <v>20.83123382279425</v>
      </c>
      <c r="G10" s="59">
        <v>23.12925949251472</v>
      </c>
      <c r="H10" s="59">
        <v>25.7626988466129</v>
      </c>
    </row>
    <row r="11" spans="1:8" x14ac:dyDescent="0.25">
      <c r="A11" s="58">
        <v>0.1065</v>
      </c>
      <c r="B11" s="59">
        <v>5.166278503585526</v>
      </c>
      <c r="C11" s="59">
        <v>6.124115995730219</v>
      </c>
      <c r="D11" s="59">
        <v>7.166143200999075</v>
      </c>
      <c r="E11" s="59">
        <v>8.306155363455927</v>
      </c>
      <c r="F11" s="59">
        <v>9.561315602043088</v>
      </c>
      <c r="G11" s="59">
        <v>10.95325529826614</v>
      </c>
      <c r="H11" s="59">
        <v>12.50963618340164</v>
      </c>
    </row>
    <row r="12" spans="1:8" x14ac:dyDescent="0.25">
      <c r="A12" s="58">
        <v>0.1165</v>
      </c>
      <c r="B12" s="59">
        <v>-1.839813619479103</v>
      </c>
      <c r="C12" s="59">
        <v>-1.219210751811321</v>
      </c>
      <c r="D12" s="59">
        <v>-0.5544459940516127</v>
      </c>
      <c r="E12" s="59">
        <v>0.1606806236588493</v>
      </c>
      <c r="F12" s="59">
        <v>0.9337099130329236</v>
      </c>
      <c r="G12" s="59">
        <v>1.773910870657014</v>
      </c>
      <c r="H12" s="59">
        <v>2.692810599966025</v>
      </c>
    </row>
    <row r="13" spans="1:8" x14ac:dyDescent="0.25">
      <c r="A13" s="58">
        <v>0.1265</v>
      </c>
      <c r="B13" s="59">
        <v>-7.547962582182504</v>
      </c>
      <c r="C13" s="59">
        <v>-7.155915208725134</v>
      </c>
      <c r="D13" s="59">
        <v>-6.742925023363542</v>
      </c>
      <c r="E13" s="59">
        <v>-6.306597930796372</v>
      </c>
      <c r="F13" s="59">
        <v>-5.844080025250134</v>
      </c>
      <c r="G13" s="59">
        <v>-5.35193862041861</v>
      </c>
      <c r="H13" s="59">
        <v>-4.826004273891338</v>
      </c>
    </row>
    <row r="14" spans="1:8" x14ac:dyDescent="0.25">
      <c r="A14" s="58">
        <v>0.1365</v>
      </c>
      <c r="B14" s="59">
        <v>-12.26382602264635</v>
      </c>
      <c r="C14" s="59">
        <v>-12.02916607812883</v>
      </c>
      <c r="D14" s="59">
        <v>-11.78720110474534</v>
      </c>
      <c r="E14" s="59">
        <v>-11.53745949234791</v>
      </c>
      <c r="F14" s="59">
        <v>-11.27939506859955</v>
      </c>
      <c r="G14" s="59">
        <v>-11.0123697231623</v>
      </c>
      <c r="H14" s="59">
        <v>-10.73563089706494</v>
      </c>
    </row>
    <row r="15" spans="1:8" x14ac:dyDescent="0.25">
      <c r="A15" s="58">
        <v>0.1465</v>
      </c>
      <c r="B15" s="59">
        <v>-16.20593528065786</v>
      </c>
      <c r="C15" s="59">
        <v>-16.0808493235497</v>
      </c>
      <c r="D15" s="59">
        <v>-15.95646822846689</v>
      </c>
      <c r="E15" s="59">
        <v>-15.83327460819135</v>
      </c>
      <c r="F15" s="59">
        <v>-15.7118390257404</v>
      </c>
      <c r="G15" s="59">
        <v>-15.59283897514606</v>
      </c>
      <c r="H15" s="59">
        <v>-15.47708296991721</v>
      </c>
    </row>
    <row r="17" spans="1:8" s="61" customFormat="1" x14ac:dyDescent="0.25">
      <c r="A17" s="62" t="s">
        <v>214</v>
      </c>
      <c r="B17" s="63"/>
      <c r="C17" s="63"/>
      <c r="D17" s="63"/>
      <c r="E17" s="63"/>
      <c r="F17" s="63"/>
      <c r="G17" s="63"/>
      <c r="H17" s="63"/>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4" customWidth="1"/>
  </cols>
  <sheetData>
    <row r="1" spans="1:4" s="8" customFormat="1" x14ac:dyDescent="0.25">
      <c r="A1" s="9" t="s">
        <v>215</v>
      </c>
      <c r="B1" s="65"/>
      <c r="C1" s="65"/>
      <c r="D1" s="65"/>
    </row>
    <row r="2" spans="1:4" x14ac:dyDescent="0.25">
      <c r="A2" s="11" t="s">
        <v>10</v>
      </c>
      <c r="B2" s="66"/>
      <c r="C2" s="66"/>
      <c r="D2" s="66"/>
    </row>
    <row r="4" spans="1:4" x14ac:dyDescent="0.25">
      <c r="A4" s="11" t="s">
        <v>20</v>
      </c>
      <c r="B4" s="14">
        <v>0.04676330134272576</v>
      </c>
      <c r="C4" s="66" t="s">
        <v>62</v>
      </c>
      <c r="D4" s="66" t="s">
        <v>62</v>
      </c>
    </row>
    <row r="6" spans="1:4" s="32" customFormat="1" x14ac:dyDescent="0.25">
      <c r="A6" s="21" t="s">
        <v>216</v>
      </c>
      <c r="B6" s="67" t="s">
        <v>217</v>
      </c>
      <c r="C6" s="67" t="s">
        <v>218</v>
      </c>
      <c r="D6" s="67" t="s">
        <v>219</v>
      </c>
    </row>
    <row r="7" spans="1:4" x14ac:dyDescent="0.25">
      <c r="A7" s="11" t="s">
        <v>48</v>
      </c>
      <c r="B7" s="14">
        <v>0.12</v>
      </c>
      <c r="C7" s="14">
        <v>0.2560086279167915</v>
      </c>
      <c r="D7" s="14">
        <v>0.13600862791679152</v>
      </c>
    </row>
    <row r="8" spans="1:4" x14ac:dyDescent="0.25">
      <c r="A8" s="11" t="s">
        <v>40</v>
      </c>
      <c r="B8" s="14">
        <v>0.16</v>
      </c>
      <c r="C8" s="14">
        <v>0.3413448372223842</v>
      </c>
      <c r="D8" s="14">
        <v>0.18134483722238418</v>
      </c>
    </row>
    <row r="9" spans="1:4" x14ac:dyDescent="0.25">
      <c r="A9" s="11" t="s">
        <v>54</v>
      </c>
      <c r="B9" s="14">
        <v>0.14</v>
      </c>
      <c r="C9" s="14">
        <v>0.2986767325695879</v>
      </c>
      <c r="D9" s="14">
        <v>0.15867673256958786</v>
      </c>
    </row>
    <row r="11" spans="1:4" s="17" customFormat="1" x14ac:dyDescent="0.25">
      <c r="A11" s="18" t="s">
        <v>220</v>
      </c>
      <c r="B11" s="68"/>
      <c r="C11" s="68"/>
      <c r="D11" s="68"/>
    </row>
    <row r="12" spans="1:4" s="32" customFormat="1" x14ac:dyDescent="0.25">
      <c r="A12" s="21" t="s">
        <v>221</v>
      </c>
      <c r="B12" s="67" t="s">
        <v>222</v>
      </c>
      <c r="C12" s="69"/>
      <c r="D12" s="69"/>
    </row>
    <row r="13" spans="1:4" x14ac:dyDescent="0.25">
      <c r="A13" s="11" t="s">
        <v>223</v>
      </c>
      <c r="B13" s="70">
        <v>-98.18971237073154</v>
      </c>
      <c r="C13" s="66"/>
      <c r="D13" s="66"/>
    </row>
    <row r="14" spans="1:4" x14ac:dyDescent="0.25">
      <c r="A14" s="11" t="s">
        <v>224</v>
      </c>
      <c r="B14" s="70">
        <v>-16.56568398250051</v>
      </c>
      <c r="C14" s="66"/>
      <c r="D14" s="66"/>
    </row>
    <row r="15" spans="1:4" x14ac:dyDescent="0.25">
      <c r="A15" s="11" t="s">
        <v>146</v>
      </c>
      <c r="B15" s="71">
        <v>-8.751159680902067</v>
      </c>
      <c r="C15" s="66"/>
      <c r="D15" s="66"/>
    </row>
    <row r="16" spans="1:4" x14ac:dyDescent="0.25">
      <c r="A16" s="11" t="s">
        <v>225</v>
      </c>
      <c r="B16" s="71">
        <v>-3.396280594360375</v>
      </c>
      <c r="C16" s="66"/>
      <c r="D16" s="66"/>
    </row>
    <row r="17" spans="1:4" x14ac:dyDescent="0.25">
      <c r="A17" s="11" t="s">
        <v>226</v>
      </c>
      <c r="B17" s="71">
        <v>1.245981194187749</v>
      </c>
      <c r="C17" s="66"/>
      <c r="D17" s="66"/>
    </row>
    <row r="18" spans="1:4" x14ac:dyDescent="0.25">
      <c r="A18" s="11" t="s">
        <v>147</v>
      </c>
      <c r="B18" s="72">
        <v>5.019577184335581</v>
      </c>
      <c r="C18" s="66"/>
      <c r="D18" s="66"/>
    </row>
    <row r="19" spans="1:4" x14ac:dyDescent="0.25">
      <c r="A19" s="11" t="s">
        <v>227</v>
      </c>
      <c r="B19" s="72">
        <v>8.470828684605976</v>
      </c>
      <c r="C19" s="66"/>
      <c r="D19" s="66"/>
    </row>
    <row r="20" spans="1:4" x14ac:dyDescent="0.25">
      <c r="A20" s="11" t="s">
        <v>228</v>
      </c>
      <c r="B20" s="72">
        <v>11.71248414324425</v>
      </c>
      <c r="C20" s="66"/>
      <c r="D20" s="66"/>
    </row>
    <row r="21" spans="1:4" x14ac:dyDescent="0.25">
      <c r="A21" s="11" t="s">
        <v>229</v>
      </c>
      <c r="B21" s="72">
        <v>14.85890666231328</v>
      </c>
      <c r="C21" s="66"/>
      <c r="D21" s="66"/>
    </row>
    <row r="22" spans="1:4" x14ac:dyDescent="0.25">
      <c r="A22" s="11" t="s">
        <v>230</v>
      </c>
      <c r="B22" s="72">
        <v>17.91525560754006</v>
      </c>
      <c r="C22" s="66"/>
      <c r="D22" s="66"/>
    </row>
    <row r="23" spans="1:4" x14ac:dyDescent="0.25">
      <c r="A23" s="11" t="s">
        <v>148</v>
      </c>
      <c r="B23" s="72">
        <v>21.06236368740021</v>
      </c>
      <c r="C23" s="66"/>
      <c r="D23" s="66"/>
    </row>
    <row r="24" spans="1:4" x14ac:dyDescent="0.25">
      <c r="A24" s="11" t="s">
        <v>231</v>
      </c>
      <c r="B24" s="72">
        <v>24.48546816972939</v>
      </c>
      <c r="C24" s="66"/>
      <c r="D24" s="66"/>
    </row>
    <row r="25" spans="1:4" x14ac:dyDescent="0.25">
      <c r="A25" s="11" t="s">
        <v>232</v>
      </c>
      <c r="B25" s="72">
        <v>28.46735900804603</v>
      </c>
      <c r="C25" s="66"/>
      <c r="D25" s="66"/>
    </row>
    <row r="26" spans="1:4" x14ac:dyDescent="0.25">
      <c r="A26" s="11" t="s">
        <v>233</v>
      </c>
      <c r="B26" s="72">
        <v>32.26827303632616</v>
      </c>
      <c r="C26" s="66"/>
      <c r="D26" s="66"/>
    </row>
    <row r="27" spans="1:4" x14ac:dyDescent="0.25">
      <c r="A27" s="11" t="s">
        <v>234</v>
      </c>
      <c r="B27" s="72">
        <v>37.18963314860042</v>
      </c>
      <c r="C27" s="66"/>
      <c r="D27" s="66"/>
    </row>
    <row r="28" spans="1:4" x14ac:dyDescent="0.25">
      <c r="A28" s="11" t="s">
        <v>149</v>
      </c>
      <c r="B28" s="73">
        <v>42.56277644483361</v>
      </c>
      <c r="C28" s="66"/>
      <c r="D28" s="66"/>
    </row>
    <row r="29" spans="1:4" x14ac:dyDescent="0.25">
      <c r="A29" s="11" t="s">
        <v>235</v>
      </c>
      <c r="B29" s="73">
        <v>48.19175942097567</v>
      </c>
      <c r="C29" s="66"/>
      <c r="D29" s="66"/>
    </row>
    <row r="30" spans="1:4" x14ac:dyDescent="0.25">
      <c r="A30" s="11" t="s">
        <v>236</v>
      </c>
      <c r="B30" s="73">
        <v>55.51825642017543</v>
      </c>
      <c r="C30" s="66"/>
      <c r="D30" s="66"/>
    </row>
    <row r="31" spans="1:4" x14ac:dyDescent="0.25">
      <c r="A31" s="11" t="s">
        <v>150</v>
      </c>
      <c r="B31" s="74">
        <v>65.3386179278544</v>
      </c>
      <c r="C31" s="66"/>
      <c r="D31" s="66"/>
    </row>
    <row r="32" spans="1:4" x14ac:dyDescent="0.25">
      <c r="A32" s="11" t="s">
        <v>237</v>
      </c>
      <c r="B32" s="74">
        <v>82.31958358932849</v>
      </c>
      <c r="C32" s="66"/>
      <c r="D32" s="66"/>
    </row>
    <row r="33" spans="1:4" x14ac:dyDescent="0.25">
      <c r="A33" s="11" t="s">
        <v>238</v>
      </c>
      <c r="B33" s="74">
        <v>297.5339661360013</v>
      </c>
      <c r="C33" s="66"/>
      <c r="D33" s="66"/>
    </row>
    <row r="34" spans="1:4" x14ac:dyDescent="0.25">
      <c r="A34" s="75" t="s">
        <v>239</v>
      </c>
      <c r="B34" s="66"/>
      <c r="C34" s="66"/>
      <c r="D34" s="66"/>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449.06</v>
      </c>
    </row>
    <row r="8" spans="1:2" x14ac:dyDescent="0.25">
      <c r="A8" s="11" t="s">
        <v>18</v>
      </c>
      <c r="B8" s="13">
        <v>25.83116250075319</v>
      </c>
    </row>
    <row r="9" spans="1:2" x14ac:dyDescent="0.25">
      <c r="A9" s="11" t="s">
        <v>19</v>
      </c>
      <c r="B9" s="14">
        <v>-0.9424772580484719</v>
      </c>
    </row>
    <row r="10" spans="1:2" x14ac:dyDescent="0.25">
      <c r="A10" s="11" t="s">
        <v>20</v>
      </c>
      <c r="B10" s="14">
        <v>0.04676330134272576</v>
      </c>
    </row>
    <row r="11" spans="1:2" x14ac:dyDescent="0.25">
      <c r="A11" s="11" t="s">
        <v>21</v>
      </c>
      <c r="B11" s="12" t="s">
        <v>22</v>
      </c>
    </row>
    <row r="12" spans="1:2" x14ac:dyDescent="0.25">
      <c r="A12" s="11" t="s">
        <v>23</v>
      </c>
      <c r="B12" s="15">
        <v>46047.439133900465</v>
      </c>
    </row>
    <row r="13" spans="1:2" x14ac:dyDescent="0.25">
      <c r="A13" s="11" t="s">
        <v>24</v>
      </c>
      <c r="B13" s="15">
        <v>45657</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1493492.35513302</v>
      </c>
    </row>
    <row r="20" spans="1:2" x14ac:dyDescent="0.25">
      <c r="A20" s="11" t="s">
        <v>36</v>
      </c>
      <c r="B20" s="16">
        <v>3325.819167</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0.16</v>
      </c>
      <c r="C8" s="11" t="s">
        <v>41</v>
      </c>
    </row>
    <row r="9" spans="1:3" x14ac:dyDescent="0.25">
      <c r="A9" s="11" t="s">
        <v>42</v>
      </c>
      <c r="B9" s="19">
        <v>0.035</v>
      </c>
      <c r="C9" s="11" t="s">
        <v>43</v>
      </c>
    </row>
    <row r="10" spans="1:3" x14ac:dyDescent="0.25">
      <c r="A10" s="11" t="s">
        <v>44</v>
      </c>
      <c r="B10" s="20">
        <v>10</v>
      </c>
      <c r="C10" s="11" t="s">
        <v>45</v>
      </c>
    </row>
    <row r="11" spans="1:3" x14ac:dyDescent="0.25">
      <c r="A11" s="11" t="s">
        <v>46</v>
      </c>
      <c r="B11" s="20">
        <v>1.25</v>
      </c>
      <c r="C11" s="11" t="s">
        <v>47</v>
      </c>
    </row>
    <row r="12" spans="1:3" x14ac:dyDescent="0.25">
      <c r="A12" s="11" t="s">
        <v>48</v>
      </c>
      <c r="B12" s="19">
        <v>0.12</v>
      </c>
      <c r="C12" s="11" t="s">
        <v>49</v>
      </c>
    </row>
    <row r="13" spans="1:3" x14ac:dyDescent="0.25">
      <c r="A13" s="11" t="s">
        <v>50</v>
      </c>
      <c r="B13" s="19">
        <v>0.075</v>
      </c>
      <c r="C13" s="11" t="s">
        <v>51</v>
      </c>
    </row>
    <row r="14" spans="1:3" x14ac:dyDescent="0.25">
      <c r="A14" s="11" t="s">
        <v>52</v>
      </c>
      <c r="B14" s="20">
        <v>6</v>
      </c>
      <c r="C14" s="11" t="s">
        <v>53</v>
      </c>
    </row>
    <row r="15" spans="1:3" x14ac:dyDescent="0.25">
      <c r="A15" s="11" t="s">
        <v>54</v>
      </c>
      <c r="B15" s="19">
        <v>0.14</v>
      </c>
      <c r="C15" s="11" t="s">
        <v>55</v>
      </c>
    </row>
    <row r="16" spans="1:3" x14ac:dyDescent="0.25">
      <c r="A16" s="11" t="s">
        <v>56</v>
      </c>
      <c r="B16" s="12" t="s">
        <v>57</v>
      </c>
      <c r="C16" s="11" t="s">
        <v>58</v>
      </c>
    </row>
    <row r="17" spans="1:3" x14ac:dyDescent="0.25">
      <c r="A17" s="11" t="s">
        <v>59</v>
      </c>
      <c r="B17" s="19">
        <v>0.55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0.014</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142663.4103388928</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248.1</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344535000</v>
      </c>
      <c r="B6" s="13">
        <v>40.41</v>
      </c>
      <c r="C6" s="34">
        <v>3.51</v>
      </c>
      <c r="D6" s="14">
        <v>0.59</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156.1</v>
      </c>
      <c r="C14" s="11" t="s">
        <v>105</v>
      </c>
      <c r="D14" s="12"/>
      <c r="E14" s="12"/>
      <c r="F14" s="12"/>
    </row>
    <row r="15" spans="1:6" x14ac:dyDescent="0.25">
      <c r="A15" s="11" t="s">
        <v>106</v>
      </c>
      <c r="B15" s="16">
        <v>0</v>
      </c>
      <c r="C15" s="11" t="s">
        <v>62</v>
      </c>
      <c r="D15" s="12"/>
      <c r="E15" s="12"/>
      <c r="F15" s="12"/>
    </row>
    <row r="16" spans="1:6" x14ac:dyDescent="0.25">
      <c r="A16" s="11" t="s">
        <v>107</v>
      </c>
      <c r="B16" s="16">
        <v>92</v>
      </c>
      <c r="C16" s="11" t="s">
        <v>108</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109</v>
      </c>
      <c r="B1" s="10"/>
      <c r="C1" s="10"/>
      <c r="D1" s="10"/>
      <c r="E1" s="10"/>
      <c r="F1" s="10"/>
    </row>
    <row r="2" spans="1:6" x14ac:dyDescent="0.25">
      <c r="A2" s="11" t="s">
        <v>10</v>
      </c>
      <c r="B2" s="12"/>
      <c r="C2" s="12"/>
      <c r="D2" s="12"/>
      <c r="E2" s="12"/>
      <c r="F2" s="12"/>
    </row>
    <row r="4" spans="1:6" x14ac:dyDescent="0.25">
      <c r="A4" s="21" t="s">
        <v>110</v>
      </c>
      <c r="B4" s="37">
        <v>2024</v>
      </c>
      <c r="C4" s="37">
        <v>2023</v>
      </c>
      <c r="D4" s="37">
        <v>2022</v>
      </c>
      <c r="E4" s="37">
        <v>2021</v>
      </c>
      <c r="F4" s="37">
        <v>2020</v>
      </c>
    </row>
    <row r="5" spans="1:6" x14ac:dyDescent="0.25">
      <c r="A5" s="11" t="s">
        <v>64</v>
      </c>
      <c r="B5" s="16">
        <v>97690</v>
      </c>
      <c r="C5" s="16">
        <v>96773</v>
      </c>
      <c r="D5" s="16">
        <v>81462</v>
      </c>
      <c r="E5" s="16">
        <v>53823</v>
      </c>
      <c r="F5" s="16">
        <v>31536</v>
      </c>
    </row>
    <row r="6" spans="1:6" x14ac:dyDescent="0.25">
      <c r="A6" s="11" t="s">
        <v>111</v>
      </c>
      <c r="B6" s="14">
        <v>0.0095</v>
      </c>
      <c r="C6" s="14">
        <v>0.188</v>
      </c>
      <c r="D6" s="14">
        <v>0.5135</v>
      </c>
      <c r="E6" s="14">
        <v>0.7067</v>
      </c>
      <c r="F6" s="14">
        <v>0.2831</v>
      </c>
    </row>
    <row r="7" spans="1:6" x14ac:dyDescent="0.25">
      <c r="A7" s="11" t="s">
        <v>112</v>
      </c>
      <c r="B7" s="16">
        <v>9564.3</v>
      </c>
      <c r="C7" s="16">
        <v>17259.776</v>
      </c>
      <c r="D7" s="16">
        <v>14062.426</v>
      </c>
      <c r="E7" s="16">
        <v>7626.3944</v>
      </c>
      <c r="F7" s="16">
        <v>1267.5144</v>
      </c>
    </row>
    <row r="8" spans="1:6" x14ac:dyDescent="0.25">
      <c r="A8" s="11" t="s">
        <v>113</v>
      </c>
      <c r="B8" s="14">
        <v>0.09790459617156311</v>
      </c>
      <c r="C8" s="14">
        <v>0.1783532183563597</v>
      </c>
      <c r="D8" s="14">
        <v>0.1726255923007046</v>
      </c>
      <c r="E8" s="14">
        <v>0.141693967263066</v>
      </c>
      <c r="F8" s="14">
        <v>0.04019261796042618</v>
      </c>
    </row>
    <row r="9" spans="1:6" x14ac:dyDescent="0.25">
      <c r="A9" s="11" t="s">
        <v>114</v>
      </c>
      <c r="B9" s="16">
        <v>10805.3</v>
      </c>
      <c r="C9" s="16">
        <v>17959.776</v>
      </c>
      <c r="D9" s="16">
        <v>14603.426</v>
      </c>
      <c r="E9" s="16">
        <v>8333.3944</v>
      </c>
      <c r="F9" s="16">
        <v>13536.5144</v>
      </c>
    </row>
    <row r="10" spans="1:6" x14ac:dyDescent="0.25">
      <c r="A10" s="11" t="s">
        <v>115</v>
      </c>
      <c r="B10" s="16">
        <v>-1241</v>
      </c>
      <c r="C10" s="16">
        <v>-700</v>
      </c>
      <c r="D10" s="16">
        <v>-541</v>
      </c>
      <c r="E10" s="16">
        <v>-707</v>
      </c>
      <c r="F10" s="16">
        <v>-12269</v>
      </c>
    </row>
    <row r="11" spans="1:6" x14ac:dyDescent="0.25">
      <c r="A11" s="11" t="s">
        <v>116</v>
      </c>
      <c r="B11" s="16">
        <v>87583.6</v>
      </c>
      <c r="C11" s="16">
        <v>74870.3</v>
      </c>
      <c r="D11" s="16">
        <v>54679.524</v>
      </c>
      <c r="E11" s="16">
        <v>38685.098</v>
      </c>
      <c r="F11" s="16">
        <v>28618.7036</v>
      </c>
    </row>
    <row r="12" spans="1:6" x14ac:dyDescent="0.25">
      <c r="A12" s="11" t="s">
        <v>117</v>
      </c>
      <c r="B12" s="14">
        <v>0.1092019510501966</v>
      </c>
      <c r="C12" s="14">
        <v>0.2305290081647863</v>
      </c>
      <c r="D12" s="14">
        <v>0.2571790127507328</v>
      </c>
      <c r="E12" s="14">
        <v>0.1971403665566519</v>
      </c>
      <c r="F12" s="14">
        <v>0.04428972107597495</v>
      </c>
    </row>
    <row r="13" spans="1:6" x14ac:dyDescent="0.25">
      <c r="A13" s="11" t="s">
        <v>118</v>
      </c>
      <c r="B13" s="16">
        <v>1.115391465982216</v>
      </c>
      <c r="C13" s="16">
        <v>1.292541902463327</v>
      </c>
      <c r="D13" s="16">
        <v>1.489808140977965</v>
      </c>
      <c r="E13" s="16">
        <v>1.391310938387696</v>
      </c>
      <c r="F13" s="16">
        <v>1.101936706874451</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119</v>
      </c>
      <c r="B1" s="10"/>
      <c r="C1" s="39"/>
      <c r="D1" s="10"/>
      <c r="E1" s="39"/>
      <c r="F1" s="10"/>
    </row>
    <row r="2" spans="1:6" x14ac:dyDescent="0.25">
      <c r="A2" s="11" t="s">
        <v>10</v>
      </c>
      <c r="B2" s="12"/>
      <c r="C2" s="40"/>
      <c r="D2" s="12"/>
      <c r="E2" s="40"/>
      <c r="F2" s="12"/>
    </row>
    <row r="4" spans="1:6" x14ac:dyDescent="0.25">
      <c r="A4" s="18" t="s">
        <v>120</v>
      </c>
      <c r="B4" s="12"/>
      <c r="C4" s="40"/>
      <c r="D4" s="12"/>
      <c r="E4" s="40"/>
      <c r="F4" s="12"/>
    </row>
    <row r="5" spans="1:6" s="32" customFormat="1" x14ac:dyDescent="0.25">
      <c r="A5" s="21" t="s">
        <v>121</v>
      </c>
      <c r="B5" s="22" t="s">
        <v>122</v>
      </c>
      <c r="C5" s="41" t="s">
        <v>111</v>
      </c>
      <c r="D5" s="22" t="s">
        <v>123</v>
      </c>
      <c r="E5" s="41" t="s">
        <v>111</v>
      </c>
      <c r="F5" s="22" t="s">
        <v>124</v>
      </c>
    </row>
    <row r="6" spans="1:6" x14ac:dyDescent="0.25">
      <c r="A6" s="11" t="s">
        <v>125</v>
      </c>
      <c r="B6" s="16">
        <v>20944</v>
      </c>
      <c r="C6" s="14">
        <v>-0.036836054265348354</v>
      </c>
      <c r="D6" s="16">
        <v>21745</v>
      </c>
      <c r="E6" s="14">
        <v>0.19840176357123174</v>
      </c>
      <c r="F6" s="16">
        <v>18145</v>
      </c>
    </row>
    <row r="7" spans="1:6" x14ac:dyDescent="0.25">
      <c r="A7" s="11" t="s">
        <v>126</v>
      </c>
      <c r="B7" s="16">
        <v>29021</v>
      </c>
      <c r="C7" s="14">
        <v>-0.025912127009700265</v>
      </c>
      <c r="D7" s="16">
        <v>29793</v>
      </c>
      <c r="E7" s="14">
        <v>0.308777016341592</v>
      </c>
      <c r="F7" s="16">
        <v>22764</v>
      </c>
    </row>
    <row r="8" spans="1:6" x14ac:dyDescent="0.25">
      <c r="A8" s="11" t="s">
        <v>127</v>
      </c>
      <c r="B8" s="16">
        <v>47725</v>
      </c>
      <c r="C8" s="14">
        <v>0.05504587155963303</v>
      </c>
      <c r="D8" s="16">
        <v>45235</v>
      </c>
      <c r="E8" s="14">
        <v>0.11545385051660789</v>
      </c>
      <c r="F8" s="16">
        <v>40553</v>
      </c>
    </row>
    <row r="9" spans="1:6" x14ac:dyDescent="0.25">
      <c r="A9" s="11" t="s">
        <v>128</v>
      </c>
      <c r="B9" s="16">
        <v>97690</v>
      </c>
      <c r="C9" s="14">
        <v>0.009475783534663594</v>
      </c>
      <c r="D9" s="16">
        <v>96773</v>
      </c>
      <c r="E9" s="14">
        <v>0.18795266504627925</v>
      </c>
      <c r="F9" s="16">
        <v>81462</v>
      </c>
    </row>
    <row r="11" spans="1:6" x14ac:dyDescent="0.25">
      <c r="A11" s="18" t="s">
        <v>129</v>
      </c>
      <c r="B11" s="12"/>
      <c r="C11" s="40"/>
      <c r="D11" s="12"/>
      <c r="E11" s="40"/>
      <c r="F11" s="12"/>
    </row>
    <row r="12" spans="1:6" s="32" customFormat="1" x14ac:dyDescent="0.25">
      <c r="A12" s="21" t="s">
        <v>121</v>
      </c>
      <c r="B12" s="22" t="s">
        <v>122</v>
      </c>
      <c r="C12" s="41" t="s">
        <v>111</v>
      </c>
      <c r="D12" s="22" t="s">
        <v>123</v>
      </c>
      <c r="E12" s="41" t="s">
        <v>111</v>
      </c>
      <c r="F12" s="22" t="s">
        <v>124</v>
      </c>
    </row>
    <row r="13" spans="1:6" x14ac:dyDescent="0.25">
      <c r="A13" s="11" t="s">
        <v>130</v>
      </c>
      <c r="B13" s="16">
        <v>77070</v>
      </c>
      <c r="C13" s="14">
        <v>-0.06490008371856004</v>
      </c>
      <c r="D13" s="16">
        <v>82419</v>
      </c>
      <c r="E13" s="14">
        <v>0.1533262433181271</v>
      </c>
      <c r="F13" s="16">
        <v>71462</v>
      </c>
    </row>
    <row r="14" spans="1:6" x14ac:dyDescent="0.25">
      <c r="A14" s="11" t="s">
        <v>131</v>
      </c>
      <c r="B14" s="16">
        <v>10086</v>
      </c>
      <c r="C14" s="14">
        <v>0.6712510356255178</v>
      </c>
      <c r="D14" s="16">
        <v>6035</v>
      </c>
      <c r="E14" s="14">
        <v>0.543873113328217</v>
      </c>
      <c r="F14" s="16">
        <v>3909</v>
      </c>
    </row>
    <row r="15" spans="1:6" x14ac:dyDescent="0.25">
      <c r="A15" s="11" t="s">
        <v>132</v>
      </c>
      <c r="B15" s="16">
        <v>10534</v>
      </c>
      <c r="C15" s="14">
        <v>0.26625796369755983</v>
      </c>
      <c r="D15" s="16">
        <v>8319</v>
      </c>
      <c r="E15" s="14">
        <v>0.3657855852897718</v>
      </c>
      <c r="F15" s="16">
        <v>6091</v>
      </c>
    </row>
    <row r="16" spans="1:6" x14ac:dyDescent="0.25">
      <c r="A16" s="11" t="s">
        <v>128</v>
      </c>
      <c r="B16" s="16">
        <v>97690</v>
      </c>
      <c r="C16" s="14">
        <v>0.009475783534663594</v>
      </c>
      <c r="D16" s="16">
        <v>96773</v>
      </c>
      <c r="E16" s="14">
        <v>0.18795266504627925</v>
      </c>
      <c r="F16" s="16">
        <v>81462</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133</v>
      </c>
      <c r="B1" s="10"/>
      <c r="C1" s="10"/>
      <c r="D1" s="10"/>
      <c r="E1" s="10"/>
      <c r="F1" s="10"/>
    </row>
    <row r="2" spans="1:6" x14ac:dyDescent="0.25">
      <c r="A2" s="11" t="s">
        <v>10</v>
      </c>
      <c r="B2" s="12"/>
      <c r="C2" s="12"/>
      <c r="D2" s="12"/>
      <c r="E2" s="12"/>
      <c r="F2" s="12"/>
    </row>
    <row r="4" spans="1:6" s="32" customFormat="1" x14ac:dyDescent="0.25">
      <c r="A4" s="42" t="s">
        <v>134</v>
      </c>
      <c r="B4" s="36" t="s">
        <v>135</v>
      </c>
      <c r="C4" s="36" t="s">
        <v>136</v>
      </c>
      <c r="D4" s="36"/>
      <c r="E4" s="36"/>
      <c r="F4" s="36"/>
    </row>
    <row r="5" spans="1:6" x14ac:dyDescent="0.25">
      <c r="A5" s="11" t="s">
        <v>137</v>
      </c>
      <c r="B5" s="12" t="s">
        <v>138</v>
      </c>
      <c r="C5" s="12" t="s">
        <v>139</v>
      </c>
      <c r="D5" s="12"/>
      <c r="E5" s="12"/>
      <c r="F5" s="12"/>
    </row>
    <row r="6" spans="1:6" x14ac:dyDescent="0.25">
      <c r="A6" s="11" t="s">
        <v>140</v>
      </c>
      <c r="B6" s="12" t="s">
        <v>141</v>
      </c>
      <c r="C6" s="12" t="s">
        <v>139</v>
      </c>
      <c r="D6" s="12"/>
      <c r="E6" s="12"/>
      <c r="F6" s="12"/>
    </row>
    <row r="7" spans="1:6" x14ac:dyDescent="0.25">
      <c r="A7" s="11" t="s">
        <v>142</v>
      </c>
      <c r="B7" s="12" t="s">
        <v>143</v>
      </c>
      <c r="C7" s="12" t="s">
        <v>139</v>
      </c>
      <c r="D7" s="12"/>
      <c r="E7" s="12"/>
      <c r="F7" s="12"/>
    </row>
    <row r="9" spans="1:6" s="43" customFormat="1" x14ac:dyDescent="0.25">
      <c r="A9" s="44" t="s">
        <v>144</v>
      </c>
      <c r="B9" s="44"/>
      <c r="C9" s="44"/>
      <c r="D9" s="44"/>
      <c r="E9" s="44"/>
      <c r="F9" s="44"/>
    </row>
    <row r="10" spans="1:6" s="32" customFormat="1" x14ac:dyDescent="0.25">
      <c r="A10" s="42" t="s">
        <v>145</v>
      </c>
      <c r="B10" s="36" t="s">
        <v>146</v>
      </c>
      <c r="C10" s="36" t="s">
        <v>147</v>
      </c>
      <c r="D10" s="36" t="s">
        <v>148</v>
      </c>
      <c r="E10" s="36" t="s">
        <v>149</v>
      </c>
      <c r="F10" s="36" t="s">
        <v>150</v>
      </c>
    </row>
    <row r="11" spans="1:6" x14ac:dyDescent="0.25">
      <c r="A11" s="11" t="s">
        <v>137</v>
      </c>
      <c r="B11" s="45">
        <v>13.56455048657791</v>
      </c>
      <c r="C11" s="45">
        <v>23.76586790534905</v>
      </c>
      <c r="D11" s="45">
        <v>41.74227521973987</v>
      </c>
      <c r="E11" s="45">
        <v>112.2673633927013</v>
      </c>
      <c r="F11" s="45">
        <v>311.2473935056854</v>
      </c>
    </row>
    <row r="12" spans="1:6" x14ac:dyDescent="0.25">
      <c r="A12" s="11" t="s">
        <v>140</v>
      </c>
      <c r="B12" s="45">
        <v>17.50367817878416</v>
      </c>
      <c r="C12" s="45">
        <v>24.46477360144458</v>
      </c>
      <c r="D12" s="45">
        <v>34.58059168735316</v>
      </c>
      <c r="E12" s="45">
        <v>83.44974766332507</v>
      </c>
      <c r="F12" s="45">
        <v>279.0859769526369</v>
      </c>
    </row>
    <row r="13" spans="1:6" x14ac:dyDescent="0.25">
      <c r="A13" s="11" t="s">
        <v>142</v>
      </c>
      <c r="B13" s="45">
        <v>10.39683865650174</v>
      </c>
      <c r="C13" s="45">
        <v>14.42600865256244</v>
      </c>
      <c r="D13" s="45">
        <v>30.26091008152519</v>
      </c>
      <c r="E13" s="45">
        <v>71.71922592988051</v>
      </c>
      <c r="F13" s="45">
        <v>123.4137403237835</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151</v>
      </c>
      <c r="B1" s="10"/>
      <c r="C1" s="10"/>
      <c r="D1" s="10"/>
      <c r="E1" s="10"/>
    </row>
    <row r="2" spans="1:5" x14ac:dyDescent="0.25">
      <c r="A2" s="11" t="s">
        <v>10</v>
      </c>
      <c r="B2" s="12"/>
      <c r="C2" s="12"/>
      <c r="D2" s="12"/>
      <c r="E2" s="12"/>
    </row>
    <row r="4" spans="1:5" s="17" customFormat="1" x14ac:dyDescent="0.25">
      <c r="A4" s="18" t="s">
        <v>152</v>
      </c>
      <c r="B4" s="31"/>
      <c r="C4" s="31"/>
      <c r="D4" s="31"/>
      <c r="E4" s="31"/>
    </row>
    <row r="5" spans="1:5" x14ac:dyDescent="0.25">
      <c r="A5" s="11" t="s">
        <v>153</v>
      </c>
      <c r="B5" s="19">
        <v>0.04227</v>
      </c>
      <c r="C5" s="12"/>
      <c r="D5" s="12"/>
      <c r="E5" s="12"/>
    </row>
    <row r="6" spans="1:5" x14ac:dyDescent="0.25">
      <c r="A6" s="11" t="s">
        <v>154</v>
      </c>
      <c r="B6" s="12" t="s">
        <v>155</v>
      </c>
      <c r="C6" s="12"/>
      <c r="D6" s="12"/>
      <c r="E6" s="12"/>
    </row>
    <row r="7" spans="1:5" x14ac:dyDescent="0.25">
      <c r="A7" s="11" t="s">
        <v>156</v>
      </c>
      <c r="B7" s="19">
        <v>0.003</v>
      </c>
      <c r="C7" s="12"/>
      <c r="D7" s="12"/>
      <c r="E7" s="12"/>
    </row>
    <row r="8" spans="1:5" x14ac:dyDescent="0.25">
      <c r="A8" s="11" t="s">
        <v>157</v>
      </c>
      <c r="B8" s="25">
        <f>=INDEX(B:B,MATCH("Ten-year bond yield",A:A,0))-INDEX(B:B,MATCH("Default spread",A:A,0))</f>
      </c>
      <c r="C8" s="12"/>
      <c r="D8" s="12"/>
      <c r="E8" s="12"/>
    </row>
    <row r="10" spans="1:5" s="17" customFormat="1" x14ac:dyDescent="0.25">
      <c r="A10" s="18" t="s">
        <v>158</v>
      </c>
      <c r="B10" s="31"/>
      <c r="C10" s="31"/>
      <c r="D10" s="31"/>
      <c r="E10" s="31"/>
    </row>
    <row r="11" spans="1:5" s="32" customFormat="1" x14ac:dyDescent="0.25">
      <c r="A11" s="21" t="s">
        <v>121</v>
      </c>
      <c r="B11" s="22" t="s">
        <v>159</v>
      </c>
      <c r="C11" s="22" t="s">
        <v>160</v>
      </c>
      <c r="D11" s="22" t="s">
        <v>161</v>
      </c>
      <c r="E11" s="22" t="s">
        <v>162</v>
      </c>
    </row>
    <row r="12" spans="1:5" x14ac:dyDescent="0.25">
      <c r="A12" s="11" t="s">
        <v>130</v>
      </c>
      <c r="B12" s="20">
        <v>77070</v>
      </c>
      <c r="C12" s="20">
        <v>0.81</v>
      </c>
      <c r="D12" s="25">
        <f>(B12*C12)/SUMPRODUCT(B12:B14,C12:C14)</f>
      </c>
      <c r="E12" s="20">
        <v>1.17</v>
      </c>
    </row>
    <row r="13" spans="1:5" x14ac:dyDescent="0.25">
      <c r="A13" s="11" t="s">
        <v>132</v>
      </c>
      <c r="B13" s="20">
        <v>10534</v>
      </c>
      <c r="C13" s="20">
        <v>3.2</v>
      </c>
      <c r="D13" s="25">
        <f>(B13*C13)/SUMPRODUCT(B12:B14,C12:C14)</f>
      </c>
      <c r="E13" s="20">
        <v>1.21</v>
      </c>
    </row>
    <row r="14" spans="1:5" x14ac:dyDescent="0.25">
      <c r="A14" s="11" t="s">
        <v>131</v>
      </c>
      <c r="B14" s="20">
        <v>10086</v>
      </c>
      <c r="C14" s="20">
        <v>3.54</v>
      </c>
      <c r="D14" s="25">
        <f>(B14*C14)/SUMPRODUCT(B12:B14,C12:C14)</f>
      </c>
      <c r="E14" s="20">
        <v>0.87</v>
      </c>
    </row>
    <row r="16" spans="1:5" x14ac:dyDescent="0.25">
      <c r="A16" s="11" t="s">
        <v>162</v>
      </c>
      <c r="B16" s="46">
        <f>=SUMPRODUCT(INDEX(D:D,MATCH("Segment",A:A,0)+1):INDEX(D:D,MATCH(TRUE,INDEX((INDEX(A:A,MATCH("Segment",A:A,0)+1):A1048576)="",0),0)+MATCH("Segment",A:A,0)+1-1),INDEX(E:E,MATCH("Segment",A:A,0)+1):INDEX(E:E,MATCH(TRUE,INDEX((INDEX(A:A,MATCH("Segment",A:A,0)+1):A1048576)="",0),0)+MATCH("Segment",A:A,0)+1-1))</f>
      </c>
      <c r="C16" s="12"/>
      <c r="D16" s="12"/>
      <c r="E16" s="12"/>
    </row>
    <row r="18" spans="1:5" s="17" customFormat="1" x14ac:dyDescent="0.25">
      <c r="A18" s="18" t="s">
        <v>163</v>
      </c>
      <c r="B18" s="31"/>
      <c r="C18" s="31"/>
      <c r="D18" s="31"/>
      <c r="E18" s="31"/>
    </row>
    <row r="19" spans="1:5" s="32" customFormat="1" x14ac:dyDescent="0.25">
      <c r="A19" s="21" t="s">
        <v>164</v>
      </c>
      <c r="B19" s="22" t="s">
        <v>159</v>
      </c>
      <c r="C19" s="22" t="s">
        <v>161</v>
      </c>
      <c r="D19" s="22" t="s">
        <v>165</v>
      </c>
      <c r="E19" s="22" t="s">
        <v>166</v>
      </c>
    </row>
    <row r="20" spans="1:5" x14ac:dyDescent="0.25">
      <c r="A20" s="11" t="s">
        <v>167</v>
      </c>
      <c r="B20" s="20">
        <v>20944</v>
      </c>
      <c r="C20" s="25">
        <f>B20/SUM(B20:B22)</f>
      </c>
      <c r="D20" s="19">
        <v>0.0507</v>
      </c>
      <c r="E20" s="19">
        <v>0.25</v>
      </c>
    </row>
    <row r="21" spans="1:5" x14ac:dyDescent="0.25">
      <c r="A21" s="11" t="s">
        <v>155</v>
      </c>
      <c r="B21" s="20">
        <v>47725</v>
      </c>
      <c r="C21" s="25">
        <f>B21/SUM(B20:B22)</f>
      </c>
      <c r="D21" s="19">
        <v>0.0434</v>
      </c>
      <c r="E21" s="19">
        <v>0.21</v>
      </c>
    </row>
    <row r="22" spans="1:5" x14ac:dyDescent="0.25">
      <c r="A22" s="11" t="s">
        <v>168</v>
      </c>
      <c r="B22" s="20">
        <v>29021</v>
      </c>
      <c r="C22" s="25">
        <f>B22/SUM(B20:B22)</f>
      </c>
      <c r="D22" s="19">
        <v>0.0672</v>
      </c>
      <c r="E22" s="19">
        <v>0.2557</v>
      </c>
    </row>
    <row r="24" spans="1:5" x14ac:dyDescent="0.25">
      <c r="A24" s="11" t="s">
        <v>169</v>
      </c>
      <c r="B24" s="25">
        <f>=SUMPRODUCT(INDEX(C:C,MATCH("Country",A:A,0)+1):INDEX(C:C,MATCH(TRUE,INDEX((INDEX(A:A,MATCH("Country",A:A,0)+1):A1048576)="",0),0)+MATCH("Country",A:A,0)+1-1),INDEX(D:D,MATCH("Country",A:A,0)+1):INDEX(D:D,MATCH(TRUE,INDEX((INDEX(A:A,MATCH("Country",A:A,0)+1):A1048576)="",0),0)+MATCH("Country",A:A,0)+1-1))</f>
      </c>
      <c r="C24" s="12"/>
      <c r="D24" s="12"/>
      <c r="E24" s="12"/>
    </row>
    <row r="26" spans="1:5" s="17" customFormat="1" x14ac:dyDescent="0.25">
      <c r="A26" s="18" t="s">
        <v>170</v>
      </c>
      <c r="B26" s="31"/>
      <c r="C26" s="31"/>
      <c r="D26" s="31"/>
      <c r="E26" s="31"/>
    </row>
    <row r="27" spans="1:5" x14ac:dyDescent="0.25">
      <c r="A27" s="11" t="s">
        <v>157</v>
      </c>
      <c r="B27" s="25">
        <f>=INDEX(B:B,MATCH("Risk-free rate",A:A,0))</f>
      </c>
      <c r="C27" s="12"/>
      <c r="D27" s="12"/>
      <c r="E27" s="12"/>
    </row>
    <row r="28" spans="1:5" x14ac:dyDescent="0.25">
      <c r="A28" s="11" t="s">
        <v>171</v>
      </c>
      <c r="B28" s="25">
        <f>=INDEX(B:B,MATCH("Equity beta",A:A,0))*INDEX(B:B,MATCH("Equity risk premium",A:A,0))</f>
      </c>
      <c r="C28" s="12"/>
      <c r="D28" s="12"/>
      <c r="E28" s="12"/>
    </row>
    <row r="29" spans="1:5" x14ac:dyDescent="0.25">
      <c r="A29" s="11" t="s">
        <v>162</v>
      </c>
      <c r="B29" s="46">
        <f>=INDEX(B:B,MATCH("Equity beta",A:A,0))</f>
      </c>
      <c r="C29" s="12"/>
      <c r="D29" s="12"/>
      <c r="E29" s="12"/>
    </row>
    <row r="30" spans="1:5" x14ac:dyDescent="0.25">
      <c r="A30" s="11" t="s">
        <v>172</v>
      </c>
      <c r="B30" s="25">
        <f>=INDEX(B:B,MATCH("Company equity risk premium",A:A,0))</f>
      </c>
      <c r="C30" s="12"/>
      <c r="D30" s="12"/>
      <c r="E30" s="12"/>
    </row>
    <row r="31" spans="1:5" x14ac:dyDescent="0.25">
      <c r="A31" s="11" t="s">
        <v>151</v>
      </c>
      <c r="B31" s="25">
        <f>=INDEX(B:B,MATCH("Risk-free rate",A:A,0))+INDEX(B:B,MATCH("Equity beta",A:A,0))*INDEX(B:B,MATCH("Equity risk premium",A:A,0))</f>
      </c>
      <c r="C31" s="12"/>
      <c r="D31" s="12"/>
      <c r="E31" s="12"/>
    </row>
    <row r="33" spans="1:5" s="17" customFormat="1" x14ac:dyDescent="0.25">
      <c r="A33" s="18" t="s">
        <v>173</v>
      </c>
      <c r="B33" s="31"/>
      <c r="C33" s="31"/>
      <c r="D33" s="31"/>
      <c r="E33" s="31"/>
    </row>
    <row r="34" spans="1:5" x14ac:dyDescent="0.25">
      <c r="A34" s="11" t="s">
        <v>157</v>
      </c>
      <c r="B34" s="25">
        <f>=INDEX(B:B,MATCH("Risk-free rate",A:A,0))</f>
      </c>
      <c r="C34" s="12"/>
      <c r="D34" s="12"/>
      <c r="E34" s="12"/>
    </row>
    <row r="35" spans="1:5" x14ac:dyDescent="0.25">
      <c r="A35" s="11" t="s">
        <v>174</v>
      </c>
      <c r="B35" s="25">
        <f>=INDEX(B:B,MATCH("Stable beta (clamped)",A:A,0))*INDEX(B:B,MATCH("Equity risk premium",A:A,0))</f>
      </c>
      <c r="C35" s="12"/>
      <c r="D35" s="12"/>
      <c r="E35" s="12"/>
    </row>
    <row r="36" spans="1:5" x14ac:dyDescent="0.25">
      <c r="A36" s="11" t="s">
        <v>175</v>
      </c>
      <c r="B36" s="46">
        <f>=MIN(MAX(INDEX(B:B,MATCH("Equity beta",A:A,0)),0.8),1.2)</f>
      </c>
      <c r="C36" s="12"/>
      <c r="D36" s="12"/>
      <c r="E36" s="12"/>
    </row>
    <row r="37" spans="1:5" x14ac:dyDescent="0.25">
      <c r="A37" s="11" t="s">
        <v>172</v>
      </c>
      <c r="B37" s="25">
        <f>=INDEX(B:B,MATCH("Company equity risk premium",A:A,0))</f>
      </c>
      <c r="C37" s="12"/>
      <c r="D37" s="12"/>
      <c r="E37" s="12"/>
    </row>
    <row r="38" spans="1:5" x14ac:dyDescent="0.25">
      <c r="A38" s="11" t="s">
        <v>176</v>
      </c>
      <c r="B38" s="25">
        <f>=INDEX(B:B,MATCH("Risk-free rate",A:A,0))+INDEX(B:B,MATCH("Stable beta (clamped)",A:A,0))*INDEX(B:B,MATCH("Equity risk premium",A:A,0))</f>
      </c>
      <c r="C38" s="12"/>
      <c r="D38" s="12"/>
      <c r="E38"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2026-01-25T23:52:37Z</dcterms:created>
  <dcterms:modified xsi:type="dcterms:W3CDTF">2026-01-25T23:52:37Z</dcterms:modified>
</cp:coreProperties>
</file>