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<sst xmlns="http://schemas.openxmlformats.org/spreadsheetml/2006/main" count="385" uniqueCount="290">
  <si>
    <t>ValuationBot.ai</t>
  </si>
  <si>
    <t>Stellantis N.V. (STLA)</t>
  </si>
  <si>
    <t>Analysis ID: c519369e-123b-4a22-b8a7-e86227c71e6e</t>
  </si>
  <si>
    <t>Created: Feb 19, 2026 07:53am</t>
  </si>
  <si>
    <t>User: Edmund Simms</t>
  </si>
  <si>
    <t>Email: edmund.simms@gmail.com</t>
  </si>
  <si>
    <t>View this analysis online</t>
  </si>
  <si>
    <t>© 2025–2026 Lyceum Analytics Ltd. ValuationBot is a trading name of Lyceum Analytics Ltd.</t>
  </si>
  <si>
    <t>Not financial advice. Use at your own risk.</t>
  </si>
  <si>
    <t>Summary</t>
  </si>
  <si>
    <t>(all financial data in € millions unless stated otherwise)</t>
  </si>
  <si>
    <t>Company</t>
  </si>
  <si>
    <t>Stellantis N.V.</t>
  </si>
  <si>
    <t>Ticker</t>
  </si>
  <si>
    <t>STLA</t>
  </si>
  <si>
    <t>Created</t>
  </si>
  <si>
    <t>Feb 19, 2026 07:53am</t>
  </si>
  <si>
    <t>Current price</t>
  </si>
  <si>
    <t>Estimated value</t>
  </si>
  <si>
    <t>Upside</t>
  </si>
  <si>
    <t>Expected IRR</t>
  </si>
  <si>
    <t>Currency</t>
  </si>
  <si>
    <t>EUR</t>
  </si>
  <si>
    <t>Valuation date</t>
  </si>
  <si>
    <t>Latest financials date</t>
  </si>
  <si>
    <t>Latest filing</t>
  </si>
  <si>
    <t>10-Q Jul 29, 2025</t>
  </si>
  <si>
    <t>Industry</t>
  </si>
  <si>
    <t>Auto - Manufacturers</t>
  </si>
  <si>
    <t>Sector</t>
  </si>
  <si>
    <t>Consumer Cyclical</t>
  </si>
  <si>
    <t>Recommendation</t>
  </si>
  <si>
    <t>Strong Buy</t>
  </si>
  <si>
    <t>Exchange</t>
  </si>
  <si>
    <t>NYSE</t>
  </si>
  <si>
    <t>Market cap</t>
  </si>
  <si>
    <t>Share count</t>
  </si>
  <si>
    <t>Assumptions</t>
  </si>
  <si>
    <t>(all financial data in US$ millions unless stated otherwise)</t>
  </si>
  <si>
    <t>Valuation story</t>
  </si>
  <si>
    <t>Stellantis sits in a mature, cyclical phase. I expect a multi-year recovery in volumes and mix after a weak patch, helped by product renewals, platform scale, and a broader multi-energy line-up. Electrification and software add some recurring revenue, but strong competition and incentive pressure keep pricing power limited. The firm protects profitability through cost actions and scale, so margins rebuild gradually rather than snap back, and growth fades towards a steady replacement-cycle rate.</t>
  </si>
  <si>
    <t>Revenue growth rate</t>
  </si>
  <si>
    <t>I treat Stellantis as a mature, cyclical manufacturer that can recover volumes and mix after a weak patch, but cannot outgrow the global auto market for long. The analyst revenue path rises from about €180bn to just over €200bn over the medium term, which implies low-to-mid single digit growth once the near-term rebound fades. I set a 3.5% rate as a plausible 4-year CAGR (the first half of an 8-year glide path) that fits a recovery plus modest share gains in BEV and services.</t>
  </si>
  <si>
    <t>Stable growth rate</t>
  </si>
  <si>
    <t>I anchor stable growth to long-run nominal economic growth and mature auto demand. This sits close to, but below, the 2.7573% risk-free rate, which respects the hard constraint and reflects a price-led industry with limited long-run unit growth. It also matches a business that reaches a steady replacement-cycle profile once electrification investment normalises.</t>
  </si>
  <si>
    <t>Years to stability</t>
  </si>
  <si>
    <t>I place Stellantis in a mature life cycle stage with a recovery phase, so it should not need a very long high-growth runway. The consensus revenue slope looks like a multi-year repair and then a flattening, which fits an 8-year path where growth is firmer early and then tapers. This makes the 3.5% growth assumption credible as a 4-year CAGR rather than an unrealistic decade-long outperformance.</t>
  </si>
  <si>
    <t>Sales-to-equity ratio</t>
  </si>
  <si>
    <t>Stellantis runs a capital-heavy model, but it has scale and can share platforms across brands, which supports decent capital efficiency. Recent sales to equity sat around 1.5–2.1, and the industry median sits near 1.8, so I move it towards 1.7 as reinvestment stays high for electrification and software. This fits a base case where the firm funds growth without a step-change in balance sheet intensity.</t>
  </si>
  <si>
    <t>Stable net profit margin</t>
  </si>
  <si>
    <t>I assume margins settle near the industry middle because competition in BEVs and incentives cap long-run pricing power. The firm showed very high adjusted margins in the strong years, but the latest results show how quickly margins compress when volumes, incentives, and impairments turn against it. A 5.5% stable margin matches a mature OEM with some help from software and aftersales, but with ongoing transition costs and cyclical pressure.</t>
  </si>
  <si>
    <t>FY+1 net profit margin</t>
  </si>
  <si>
    <t>I expect a near-term profit trough in line with the analyst net income path that turns deeply negative before recovering, which also fits management’s description of a gradual margin repair from a weak base. I set FY+1 margin around break-even because fixed-cost absorption and incentives can still bite, even if revenue improves. This also reflects the gap between expensed consensus earnings and our intangible-adjusted view, where capitalised development softens the reported hit but does not remove the underlying pricing and volume pressure.</t>
  </si>
  <si>
    <t>Margin convergence</t>
  </si>
  <si>
    <t>I expect margins to recover, but not in a straight line, because BEV mix, tariffs, and incentives create volatility and the product cycle takes time to flow through plants and dealers. Consensus net income improves steadily across the later years, which supports a multi-year climb rather than a snap-back. Six years gives enough time for platform scale, battery cost relief, and cost actions to show up, while still converging before full revenue stability.</t>
  </si>
  <si>
    <t>Stable ROE</t>
  </si>
  <si>
    <t>I set stable ROE modestly above the stable cost of equity because Stellantis has scale, brands, and captive finance, which should earn some economic profit in a normal cycle. Recent ROE swung from very high to low, so I do not extrapolate peak profitability into perpetuity. A 10% ROE sits below the firm’s best years and below the industry upper percentiles, but it stays above an 8.98% cost of equity in a plausible base case.</t>
  </si>
  <si>
    <t>Credit rating</t>
  </si>
  <si>
    <t>Baa2/BBB</t>
  </si>
  <si>
    <t>I align the rating with an investment-grade profile supported by large liquidity, scale, and diversified regions, but I keep it mid-BBB because earnings and cash flow swing hard in downcycles. The notes show meaningful gross debt and negative industrial free cash flow during heavy investment, which limits upward rating pressure. This matches a base case where the balance sheet stays resilient but does not de-risk enough for the A category.</t>
  </si>
  <si>
    <t>Recovery ratio</t>
  </si>
  <si>
    <t>I assume a mid-range recovery because Stellantis holds sizeable tangible assets and established brands, but autos also suffer from fast asset value erosion in distress. The business relies on working capital, tooling, and dealer networks, which often realise less than book value in liquidation. A 45% recovery fits an investment-grade cyclical industrial with meaningful secured and operating assets but high cycle risk.</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</si>
  <si>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</si>
  <si>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</si>
  <si>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</si>
  <si>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</si>
  <si>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</si>
  <si>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</si>
  <si>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</si>
  <si>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</si>
  <si>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</si>
  <si>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</si>
  <si>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</si>
  <si>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</si>
  <si>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</si>
  <si>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</si>
  <si>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</si>
  <si>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</si>
  <si>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</si>
  <si>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</si>
  <si>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</si>
  <si>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</si>
  <si>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</si>
  <si>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</si>
  <si>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Adjusted equity value</t>
  </si>
  <si>
    <t>Less: Employee options</t>
  </si>
  <si>
    <t>Less: Unfunded liabilities</t>
  </si>
  <si>
    <t>Value of common shareholders' equity</t>
  </si>
  <si>
    <t>Divide: Share count</t>
  </si>
  <si>
    <t>Equity value per share</t>
  </si>
  <si>
    <t>Other claims</t>
  </si>
  <si>
    <t>Employee stock options</t>
  </si>
  <si>
    <t>Number</t>
  </si>
  <si>
    <t>Strike price</t>
  </si>
  <si>
    <t>Maturity</t>
  </si>
  <si>
    <t>Assumed volatility</t>
  </si>
  <si>
    <t>Assumed dividend yield</t>
  </si>
  <si>
    <t>Value</t>
  </si>
  <si>
    <t>Unfunded liabilities</t>
  </si>
  <si>
    <t>Item</t>
  </si>
  <si>
    <t>Explanation</t>
  </si>
  <si>
    <t>Pension Obligations</t>
  </si>
  <si>
    <t>I used the stated underfunding of defined benefit pension plans of €2.4bn at December 31st 2024. I assumed a 100% payment probability because these are contractual benefit promises and the shortfall is already identified.</t>
  </si>
  <si>
    <t>Post Retirement Benefits</t>
  </si>
  <si>
    <t>Healthcare Liabilities</t>
  </si>
  <si>
    <t>Deferred Compensation</t>
  </si>
  <si>
    <t>Lawsuit Contingencies</t>
  </si>
  <si>
    <t>Environmental Liabilities</t>
  </si>
  <si>
    <t>Other</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</si>
  <si>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</si>
  <si>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</si>
  <si>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</si>
  <si>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</si>
  <si>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</si>
  <si>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</si>
  <si>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</si>
  <si>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</si>
  <si>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</si>
  <si>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</si>
  <si>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</si>
  <si>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</si>
  <si>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</si>
  <si>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FY2024</t>
  </si>
  <si>
    <t>FY2023</t>
  </si>
  <si>
    <t>FY2022</t>
  </si>
  <si>
    <t>ALGERIA</t>
  </si>
  <si>
    <t>ARGENTINA</t>
  </si>
  <si>
    <t>AUSTRIA</t>
  </si>
  <si>
    <t>BELGIUM</t>
  </si>
  <si>
    <t>BRAZIL</t>
  </si>
  <si>
    <t>CHINA</t>
  </si>
  <si>
    <t>FRANCE</t>
  </si>
  <si>
    <t>GERMANY</t>
  </si>
  <si>
    <t>ITALY</t>
  </si>
  <si>
    <t>JAPAN</t>
  </si>
  <si>
    <t>NETHERLANDS</t>
  </si>
  <si>
    <t>North America</t>
  </si>
  <si>
    <t>Other Countries</t>
  </si>
  <si>
    <t>POLAND</t>
  </si>
  <si>
    <t>PORTUGAL</t>
  </si>
  <si>
    <t>SPAIN</t>
  </si>
  <si>
    <t>SWITZERLAND</t>
  </si>
  <si>
    <t>TURKEY</t>
  </si>
  <si>
    <t>United Kingdom</t>
  </si>
  <si>
    <t>Total</t>
  </si>
  <si>
    <t>Operating segments</t>
  </si>
  <si>
    <t>China and India &amp; Asia Pacific</t>
  </si>
  <si>
    <t>Enlarged Europe</t>
  </si>
  <si>
    <t>Maserati</t>
  </si>
  <si>
    <t>Middle East &amp; Africa</t>
  </si>
  <si>
    <t>Other activities</t>
  </si>
  <si>
    <t>South America</t>
  </si>
  <si>
    <t>Unallocated items &amp; eliminations</t>
  </si>
  <si>
    <t>Multiples</t>
  </si>
  <si>
    <t>Metric</t>
  </si>
  <si>
    <t>Company multiple</t>
  </si>
  <si>
    <t>Percentile of industry multiples</t>
  </si>
  <si>
    <t>Price-to-sales</t>
  </si>
  <si>
    <t>0.1x</t>
  </si>
  <si>
    <t>≤10th</t>
  </si>
  <si>
    <t>Price-to-earnings</t>
  </si>
  <si>
    <t>2.8x</t>
  </si>
  <si>
    <t>Price-to-book</t>
  </si>
  <si>
    <t>0.2x</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</si>
  <si>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</si>
  <si>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</si>
  <si>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</si>
  <si>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</si>
  <si>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</si>
  <si>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</si>
  <si>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</si>
  <si>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</si>
  <si>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</si>
  <si>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</si>
  <si>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</si>
  <si>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Germany</t>
  </si>
  <si>
    <t>Default spread</t>
  </si>
  <si>
    <t>Risk-free rate</t>
  </si>
  <si>
    <t>Beta calculation</t>
  </si>
  <si>
    <t>Sales</t>
  </si>
  <si>
    <t>EV/Sales</t>
  </si>
  <si>
    <t>Weight</t>
  </si>
  <si>
    <t>Business beta</t>
  </si>
  <si>
    <t>Debt-to-equity ratio</t>
  </si>
  <si>
    <t>Cash-to-firm ratio</t>
  </si>
  <si>
    <t>Marginal tax rate</t>
  </si>
  <si>
    <t>Equity beta</t>
  </si>
  <si>
    <t>Beta selection notes</t>
  </si>
  <si>
    <t>Auto - Manufacturers (50th percentile of the industry)</t>
  </si>
  <si>
    <t>Other activities is a mixed set of businesses (such as mobility, software and parts and services) with both steadier and more growth-sensitive elements. With no single dominant risk profile, using the median beta is the fairest choice.</t>
  </si>
  <si>
    <t>Auto - Manufacturers (80th percentile of the industry)</t>
  </si>
  <si>
    <t>Maserati is a luxury brand where demand is discretionary and can drop sharply in downturns, particularly in key export markets. It also carries high fixed costs in design and engineering, so a high industry beta percentile is most appropriate.</t>
  </si>
  <si>
    <t>Auto - Manufacturers (70th percentile of the industry)</t>
  </si>
  <si>
    <t>China and India and Asia Pacific faces intense competition and fast-changing consumer preferences, especially around electrification, which makes volumes and pricing more volatile. With smaller scale and less resilience to shocks, the segment’s risk looks higher than average.</t>
  </si>
  <si>
    <t>Auto - Manufacturers (60th percentile of the industry)</t>
  </si>
  <si>
    <t>South America is cyclical and tends to face sharper demand swings due to credit conditions and economic instability, which increases product risk. Manufacturing operations add fixed-cost exposure, supporting a beta above the industry median.</t>
  </si>
  <si>
    <t>Middle East and Africa demand is more exposed to macro volatility, import restrictions and uneven market conditions, which can amplify revenue swings. The cost base still includes meaningful fixed distribution and support costs, so a modestly above-average beta is justified.</t>
  </si>
  <si>
    <t>Enlarged Europe remains cyclical, but the product mix includes a large share of mainstream passenger cars and light commercial vehicles, which can be somewhat steadier than luxury-heavy portfolios. With no clear evidence it is structurally riskier than the industry average, the median beta fits best.</t>
  </si>
  <si>
    <t>North America is heavily exposed to demand for pick-up trucks and larger SUVs, which are highly cyclical and sensitive to financing and consumer confidence. The segment also has high operating leverage from large manufacturing footprints, so a slightly above-median beta is appropriate.</t>
  </si>
  <si>
    <t>Equity risk premium (ERP) calculation</t>
  </si>
  <si>
    <t>Country</t>
  </si>
  <si>
    <t>ERP</t>
  </si>
  <si>
    <t>Tax rate</t>
  </si>
  <si>
    <t>Switzerland</t>
  </si>
  <si>
    <t>Spain</t>
  </si>
  <si>
    <t>Portugal</t>
  </si>
  <si>
    <t>Poland</t>
  </si>
  <si>
    <t>France</t>
  </si>
  <si>
    <t>Brazil</t>
  </si>
  <si>
    <t>Austria</t>
  </si>
  <si>
    <t>Argentina</t>
  </si>
  <si>
    <t>Algeria</t>
  </si>
  <si>
    <t>Turkey</t>
  </si>
  <si>
    <t>Global</t>
  </si>
  <si>
    <t>Netherlands</t>
  </si>
  <si>
    <t>Japan</t>
  </si>
  <si>
    <t>Italy</t>
  </si>
  <si>
    <t>China</t>
  </si>
  <si>
    <t>Belgium</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</si>
  <si>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</si>
  <si>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</si>
  <si>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</si>
  <si>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</si>
  <si>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</si>
  <si>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</si>
  <si>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</si>
  <si>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</si>
  <si>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</si>
  <si>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</si>
  <si>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</si>
  <si>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</si>
  <si>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</si>
  <si>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</si>
  <si>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</si>
  <si>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</si>
  <si>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</si>
  <si>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Stellantis stays in a mature life cycle stage, but it shifts into a strong execution upswing. It turns the STLA platform roll-out, multi-energy range, and Leapmotor distribution into sustained volume and mix gains across Europe and higher-growth regions, while North America stabilises with a better product cadence. It grows software-enabled services, aftersales, and captive finance income, which lifts recurring revenue and reduces pure cycle dependence. It cuts structural costs and benefits from battery cost declines, so margins rebuild faster and settle above the sector mid-point, which makes this bull case plausible rather than heroic.</t>
  </si>
  <si>
    <t>Value driver</t>
  </si>
  <si>
    <t>I treat this as a mature firm in a strong execution upswing. The analyst revenue path already implies a mid single-digit climb from the high €170bn range towards just over €200bn across the outer years, so I push growth above that by assuming Stellantis wins mix and volume through faster platform roll-outs, Leapmotor distribution, and more services revenue. A 5.5% rate works as a plausible 5-year CAGR because it needs sustained share gains and better pricing discipline, but it stays within what a global OEM can deliver in a strong cycle.</t>
  </si>
  <si>
    <t>I keep terminal growth close to long-run nominal economic growth and below the 2.7573% risk-free rate to meet the hard constraint. Even in a bull case, a global car maker cannot grow faster than the economy forever because replacement demand and competition cap long-run unit growth. I set it slightly above the base case to reflect a bigger recurring services stream and a broader emerging market footprint.</t>
  </si>
  <si>
    <t>I extend the high-growth runway because the bull case assumes Stellantis turns its platform and software spend into a longer period of above-market growth. The consensus horizon shows steady revenue gains through the outer years, so a longer glide path fits better than a short rebound story. With Y set to 10, the 5.5% assumption reads as a 5-year growth rate, not an implausible decade of outperformance.</t>
  </si>
  <si>
    <t>I assume Stellantis funds growth with better capital discipline and higher asset turns, helped by shared platforms, tighter working capital, and more software and services revenue per vehicle. This moves the ratio above the base case and closer to its stronger historical years and the industry upper-middle range. It stays realistic because the business still runs plants and carries a captive finance footprint, so it cannot look fully capital-light.</t>
  </si>
  <si>
    <t>I assume Stellantis sustains a higher through-cycle margin because battery costs fall, incentives normalise, and the mix shifts towards higher-content models plus aftersales and software take-rate. The firm has shown it can reach double-digit adjusted margins in strong years, so a 7.2% stable level sits below peak but above the industry median and above the base case. This remains plausible because competition still bites, so I do not assume a return to the best years in perpetuity.</t>
  </si>
  <si>
    <t>I assume the profit trough ends sooner than in the base case because management cost actions work, impairments fade, and volume improves with the refreshed line-up. Consensus reported net income looks very weak in the near term, but my intangible-adjusted margin should recover faster because capitalised development smooths the drop and because the bull case assumes better execution on pricing and inventory. I set a low but clearly positive margin to start a credible climb towards the higher stable margin.</t>
  </si>
  <si>
    <t>I pull forward convergence because the bull case assumes faster platform scale benefits and quicker battery cost relief. Management already points to a recovery cadence, so a tighter timeline fits if execution improves and incentives ease. Five years still allows for cycle noise and staggered launches, but it delivers the higher stable margin within the longer growth phase.</t>
  </si>
  <si>
    <t>I set ROE above the stable cost of equity because the bull case assumes Stellantis defends a stronger moat through platforms, brands, and captive finance, and it earns economic profit in maturity. This level sits around the industry median-to-upper half and below Stellantis’s strongest historical ROE, so it does not assume permanent peak conditions. It also stays consistent with a higher stable margin and slightly better capital efficiency.</t>
  </si>
  <si>
    <t>Baa1/BBB+</t>
  </si>
  <si>
    <t>I move the rating one notch better because the bull case implies steadier earnings, improving cash generation after the investment peak, and continued strong liquidity. The business remains cyclical, so I do not push it into the A category, but better margin resilience and disciplined capital returns support stronger credit quality. This also fits the scale and diversification shown in the notes and the investment-grade starting point.</t>
  </si>
  <si>
    <t>I raise recovery modestly because the bull case implies a healthier asset base, less distress risk, and more valuable brands and software-linked customer relationships. Autos still suffer from rapid value loss in a forced sale, so I avoid an aggressive assumption. A 50% recovery sits as a reasonable upside from the base case while staying grounded in the asset-heavy nature of the sector.</t>
  </si>
  <si>
    <t>Bear-case scenario</t>
  </si>
  <si>
    <t>Stellantis sits in a mature, cyclical phase, but the bear case turns the current reset into a longer grind. Price pressure from Chinese and legacy rivals forces higher incentives, and tariffs and regulation add cost and disruption across regions. The BEV and software plan still progresses, but it delivers less mix benefit and slower recurring revenue than hoped, while impairments and warranty and restructuring costs keep profits thin. The firm protects liquidity, but the business earns only modest returns and takes longer to rebuild towards a steady replacement-cycle profile.</t>
  </si>
  <si>
    <t>I treat the bear case as a slow recovery that fails to turn into a real upcycle. The analyst revenue path points to only modest growth from about €180bn to a bit above €200bn over the outer years, so I set a lower 4-year growth rate that assumes weaker volumes, more discounting, and slower BEV and software revenue traction than management hopes.</t>
  </si>
  <si>
    <t>I anchor terminal growth to long-run nominal economic growth, but I haircut it because autos stay cyclical and competition tightens. This stays below the 2.7573% risk-free rate, and it fits a mature manufacturer that mainly grows with replacement demand and pricing rather than unit expansion.</t>
  </si>
  <si>
    <t>I extend the glide path because the bear case assumes a longer repair cycle after margin and cash flow damage from incentives, impairments, and heavy platform spending. A 10-year horizon makes the 1.5% growth assumption credible as a 5-year CAGR, before growth tapers towards the stable rate.</t>
  </si>
  <si>
    <t>I assume Stellantis needs more balance sheet support to fund the transition while revenue stays soft, so capital efficiency slips. This sits below the recent 1.5–2.1 range and below the 1.8 industry median, which matches a bear case with higher working capital drag, duplicated platforms, and less favourable mix.</t>
  </si>
  <si>
    <t>I assume Stellantis settles below the industry median margin because BEV price pressure, tariffs, and higher warranty and software costs cap operating leverage. The business showed it can swing from double-digit margins to mid-single digits quickly, so a 3.5% stable margin feels plausible if the moat proves weaker than hoped.</t>
  </si>
  <si>
    <t>I keep FY+1 margin negative because consensus net income remains deeply negative in the near term, and the filing highlights low-single-digit operating margin as a near-term target that still leaves little room after interest, tax, and restructuring. Our intangible-adjusted view softens the hit versus expensed consensus, but it cannot offset weaker pricing and fixed-cost under-absorption in the bear case.</t>
  </si>
  <si>
    <t>I stretch convergence because the bear case assumes a drawn-out mix shift and slower battery cost relief, while incentives and tariffs stay volatile. This still converges before revenue reaches full stability, but it reflects that cost actions and platform scale take time to flow through a global plant network.</t>
  </si>
  <si>
    <t>I set stable ROE only slightly above the 8.98% stable cost of equity because competition erodes excess returns and the model stays capital-heavy. This matches a mature firm that can cover its cost of capital in normal conditions, but lacks the pricing power to sustain the stronger ROE seen in peak years.</t>
  </si>
  <si>
    <t>Baa3/BBB-</t>
  </si>
  <si>
    <t>I move the rating down one notch because the bear case keeps cash generation weak while capex and capitalised development stay high, which raises refinancing and execution risk. Liquidity remains large, but the combination of cyclicality, negative industrial free cash flow periods, and ongoing impairments fits the low end of investment grade.</t>
  </si>
  <si>
    <t>I assume a lower recovery because distress in autos often forces heavy discounting of plants, tooling, and inventory, and working capital can unwind badly. Brands and dealer networks retain value, but the transition to new platforms and software makes some assets less reusable in a downturn.</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</si>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</sst>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0"/>
    <numFmt numFmtId="165" formatCode="0.0%"/>
    <numFmt numFmtId="166" formatCode="yyyy-mm-dd"/>
    <numFmt numFmtId="167" formatCode="#,##0.0"/>
    <numFmt numFmtId="168" formatCode="0.0"/>
    <numFmt numFmtId="169" formatCode="0.000"/>
    <numFmt numFmtId="170" formatCode="€#,##0"/>
    <numFmt numFmtId="171" formatCode="€#,##0.0"/>
    <numFmt numFmtId="172" formatCode="#0.0"/>
  </numFmts>
  <fonts count="19" x14ac:knownFonts="1">
    <font>
      <color theme="1"/>
      <family val="2"/>
      <scheme val="minor"/>
      <sz val="11"/>
      <name val="Calibri"/>
    </font>
    <font>
      <b/>
      <color rgb="FF0284c7"/>
      <sz val="32"/>
    </font>
    <font>
      <b/>
      <color rgb="FF111827"/>
      <sz val="26"/>
    </font>
    <font>
      <color rgb="FF111827"/>
      <sz val="12"/>
    </font>
    <font>
      <u/>
      <color rgb="FF0284c7"/>
      <sz val="12"/>
    </font>
    <font>
      <color rgb="FF111827"/>
      <sz val="10"/>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1">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E6F9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8" fillId="0" borderId="0" xfId="0" applyNumberFormat="1" applyFont="1" applyAlignment="1">
      <alignment horizontal="right"/>
    </xf>
    <xf numFmtId="172" fontId="13" fillId="0" borderId="0" xfId="0" applyNumberFormat="1" applyFont="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8" fontId="8" fillId="0" borderId="0" xfId="0" applyNumberFormat="1" applyFont="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6" borderId="0" xfId="0" applyNumberFormat="1" applyFont="1" applyFill="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valuationbot.ai/analysis/c519369e-123b-4a22-b8a7-e86227c71e6e/results" TargetMode="External"/><Relationship Id="rId2" Type="http://schemas.openxmlformats.org/officeDocument/2006/relationships/hyperlink" Target="https://valuationbot.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4" t="s">
        <v>0</v>
      </c>
      <c r="B8" s="4"/>
    </row>
    <row r="9" spans="1:2" x14ac:dyDescent="0.25">
      <c r="A9" s="5" t="s">
        <v>7</v>
      </c>
      <c r="B9" s="5"/>
    </row>
    <row r="10" spans="1:2" x14ac:dyDescent="0.25">
      <c r="A10" s="5" t="s">
        <v>8</v>
      </c>
      <c r="B10" s="5"/>
    </row>
  </sheetData>
  <mergeCells count="10">
    <mergeCell ref="A1:B1"/>
    <mergeCell ref="A2:B2"/>
    <mergeCell ref="A3:B3"/>
    <mergeCell ref="A4:B4"/>
    <mergeCell ref="A5:B5"/>
    <mergeCell ref="A6:B6"/>
    <mergeCell ref="A7:B7"/>
    <mergeCell ref="A8:B8"/>
    <mergeCell ref="A9:B9"/>
    <mergeCell ref="A10:B10"/>
  </mergeCells>
  <hyperlinks>
    <hyperlink ref="A7" r:id="rId1"/>
    <hyperlink ref="A8"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8" customWidth="1"/>
    <col min="3" max="3" width="15" style="49" customWidth="1"/>
  </cols>
  <sheetData>
    <row r="1" spans="1:3" s="8" customFormat="1" x14ac:dyDescent="0.25">
      <c r="A1" s="9" t="s">
        <v>227</v>
      </c>
      <c r="B1" s="50"/>
      <c r="C1" s="51"/>
    </row>
    <row r="2" spans="1:3" x14ac:dyDescent="0.25">
      <c r="A2" s="11" t="s">
        <v>10</v>
      </c>
      <c r="B2" s="35"/>
      <c r="C2" s="52"/>
    </row>
    <row r="4" spans="1:3" s="32" customFormat="1" x14ac:dyDescent="0.25">
      <c r="A4" s="21" t="s">
        <v>228</v>
      </c>
      <c r="B4" s="53" t="s">
        <v>229</v>
      </c>
      <c r="C4" s="54" t="s">
        <v>230</v>
      </c>
    </row>
    <row r="5" spans="1:3" x14ac:dyDescent="0.25">
      <c r="A5" s="11" t="s">
        <v>231</v>
      </c>
      <c r="B5" s="13">
        <v>27.55433572968962</v>
      </c>
      <c r="C5" s="55">
        <v>3.148469828837373</v>
      </c>
    </row>
    <row r="6" spans="1:3" x14ac:dyDescent="0.25">
      <c r="A6" s="11" t="s">
        <v>232</v>
      </c>
      <c r="B6" s="13">
        <v>9.29604042145371</v>
      </c>
      <c r="C6" s="55">
        <v>0.3995744116052324</v>
      </c>
    </row>
    <row r="7" spans="1:3" x14ac:dyDescent="0.25">
      <c r="A7" s="11" t="s">
        <v>233</v>
      </c>
      <c r="B7" s="13">
        <v>49.52510361189069</v>
      </c>
      <c r="C7" s="55">
        <v>6.45630016704045</v>
      </c>
    </row>
    <row r="9" spans="1:3" x14ac:dyDescent="0.25">
      <c r="A9" s="18" t="s">
        <v>234</v>
      </c>
      <c r="B9" s="35"/>
      <c r="C9" s="52"/>
    </row>
    <row r="10" spans="1:3" x14ac:dyDescent="0.25">
      <c r="A10" s="11" t="s">
        <v>235</v>
      </c>
      <c r="B10" s="13">
        <v>49.52510361189069</v>
      </c>
      <c r="C10" s="52"/>
    </row>
    <row r="11" spans="1:3" x14ac:dyDescent="0.25">
      <c r="A11" s="11" t="s">
        <v>230</v>
      </c>
      <c r="B11" s="14">
        <v>6.45630016704045</v>
      </c>
      <c r="C11" s="52"/>
    </row>
    <row r="12" spans="1:3" x14ac:dyDescent="0.25">
      <c r="A12" s="11" t="s">
        <v>236</v>
      </c>
      <c r="B12" s="35"/>
      <c r="C12" s="52"/>
    </row>
    <row r="13" spans="1:3" s="17" customFormat="1" x14ac:dyDescent="0.25">
      <c r="A13" s="18" t="s">
        <v>237</v>
      </c>
      <c r="B13" s="56" t="s">
        <v>97</v>
      </c>
      <c r="C13" s="57" t="s">
        <v>100</v>
      </c>
    </row>
    <row r="14" spans="1:3" x14ac:dyDescent="0.25">
      <c r="A14" s="11" t="s">
        <v>41</v>
      </c>
      <c r="B14" s="14">
        <v>0.055</v>
      </c>
      <c r="C14" s="52" t="s">
        <v>238</v>
      </c>
    </row>
    <row r="15" spans="1:3" x14ac:dyDescent="0.25">
      <c r="A15" s="11" t="s">
        <v>43</v>
      </c>
      <c r="B15" s="14">
        <v>0.026</v>
      </c>
      <c r="C15" s="52" t="s">
        <v>239</v>
      </c>
    </row>
    <row r="16" spans="1:3" x14ac:dyDescent="0.25">
      <c r="A16" s="11" t="s">
        <v>45</v>
      </c>
      <c r="B16" s="16">
        <v>10</v>
      </c>
      <c r="C16" s="52" t="s">
        <v>240</v>
      </c>
    </row>
    <row r="17" spans="1:3" x14ac:dyDescent="0.25">
      <c r="A17" s="11" t="s">
        <v>47</v>
      </c>
      <c r="B17" s="16">
        <v>1.95</v>
      </c>
      <c r="C17" s="52" t="s">
        <v>241</v>
      </c>
    </row>
    <row r="18" spans="1:3" x14ac:dyDescent="0.25">
      <c r="A18" s="11" t="s">
        <v>49</v>
      </c>
      <c r="B18" s="14">
        <v>0.072</v>
      </c>
      <c r="C18" s="52" t="s">
        <v>242</v>
      </c>
    </row>
    <row r="19" spans="1:3" x14ac:dyDescent="0.25">
      <c r="A19" s="11" t="s">
        <v>51</v>
      </c>
      <c r="B19" s="14">
        <v>0.018</v>
      </c>
      <c r="C19" s="52" t="s">
        <v>243</v>
      </c>
    </row>
    <row r="20" spans="1:3" x14ac:dyDescent="0.25">
      <c r="A20" s="11" t="s">
        <v>53</v>
      </c>
      <c r="B20" s="16">
        <v>5</v>
      </c>
      <c r="C20" s="52" t="s">
        <v>244</v>
      </c>
    </row>
    <row r="21" spans="1:3" x14ac:dyDescent="0.25">
      <c r="A21" s="11" t="s">
        <v>55</v>
      </c>
      <c r="B21" s="14">
        <v>0.125</v>
      </c>
      <c r="C21" s="52" t="s">
        <v>245</v>
      </c>
    </row>
    <row r="22" spans="1:3" x14ac:dyDescent="0.25">
      <c r="A22" s="11" t="s">
        <v>57</v>
      </c>
      <c r="B22" s="35" t="s">
        <v>246</v>
      </c>
      <c r="C22" s="52" t="s">
        <v>247</v>
      </c>
    </row>
    <row r="23" spans="1:3" x14ac:dyDescent="0.25">
      <c r="A23" s="11" t="s">
        <v>60</v>
      </c>
      <c r="B23" s="14">
        <v>0.5</v>
      </c>
      <c r="C23" s="52" t="s">
        <v>248</v>
      </c>
    </row>
    <row r="25" spans="1:3" x14ac:dyDescent="0.25">
      <c r="A25" s="18" t="s">
        <v>249</v>
      </c>
      <c r="B25" s="35"/>
      <c r="C25" s="52"/>
    </row>
    <row r="26" spans="1:3" x14ac:dyDescent="0.25">
      <c r="A26" s="11" t="s">
        <v>235</v>
      </c>
      <c r="B26" s="13">
        <v>9.29604042145371</v>
      </c>
      <c r="C26" s="52"/>
    </row>
    <row r="27" spans="1:3" x14ac:dyDescent="0.25">
      <c r="A27" s="11" t="s">
        <v>230</v>
      </c>
      <c r="B27" s="14">
        <v>0.3995744116052324</v>
      </c>
      <c r="C27" s="52"/>
    </row>
    <row r="28" spans="1:3" x14ac:dyDescent="0.25">
      <c r="A28" s="11" t="s">
        <v>250</v>
      </c>
      <c r="B28" s="35"/>
      <c r="C28" s="52"/>
    </row>
    <row r="29" spans="1:3" s="17" customFormat="1" x14ac:dyDescent="0.25">
      <c r="A29" s="18" t="s">
        <v>237</v>
      </c>
      <c r="B29" s="56" t="s">
        <v>97</v>
      </c>
      <c r="C29" s="57" t="s">
        <v>100</v>
      </c>
    </row>
    <row r="30" spans="1:3" x14ac:dyDescent="0.25">
      <c r="A30" s="11" t="s">
        <v>41</v>
      </c>
      <c r="B30" s="14">
        <v>0.015</v>
      </c>
      <c r="C30" s="52" t="s">
        <v>251</v>
      </c>
    </row>
    <row r="31" spans="1:3" x14ac:dyDescent="0.25">
      <c r="A31" s="11" t="s">
        <v>43</v>
      </c>
      <c r="B31" s="14">
        <v>0.0225</v>
      </c>
      <c r="C31" s="52" t="s">
        <v>252</v>
      </c>
    </row>
    <row r="32" spans="1:3" x14ac:dyDescent="0.25">
      <c r="A32" s="11" t="s">
        <v>45</v>
      </c>
      <c r="B32" s="16">
        <v>10</v>
      </c>
      <c r="C32" s="52" t="s">
        <v>253</v>
      </c>
    </row>
    <row r="33" spans="1:3" x14ac:dyDescent="0.25">
      <c r="A33" s="11" t="s">
        <v>47</v>
      </c>
      <c r="B33" s="16">
        <v>1.45</v>
      </c>
      <c r="C33" s="52" t="s">
        <v>254</v>
      </c>
    </row>
    <row r="34" spans="1:3" x14ac:dyDescent="0.25">
      <c r="A34" s="11" t="s">
        <v>49</v>
      </c>
      <c r="B34" s="14">
        <v>0.035</v>
      </c>
      <c r="C34" s="52" t="s">
        <v>255</v>
      </c>
    </row>
    <row r="35" spans="1:3" x14ac:dyDescent="0.25">
      <c r="A35" s="11" t="s">
        <v>51</v>
      </c>
      <c r="B35" s="14">
        <v>-0.02</v>
      </c>
      <c r="C35" s="52" t="s">
        <v>256</v>
      </c>
    </row>
    <row r="36" spans="1:3" x14ac:dyDescent="0.25">
      <c r="A36" s="11" t="s">
        <v>53</v>
      </c>
      <c r="B36" s="16">
        <v>8</v>
      </c>
      <c r="C36" s="52" t="s">
        <v>257</v>
      </c>
    </row>
    <row r="37" spans="1:3" x14ac:dyDescent="0.25">
      <c r="A37" s="11" t="s">
        <v>55</v>
      </c>
      <c r="B37" s="14">
        <v>0.09</v>
      </c>
      <c r="C37" s="52" t="s">
        <v>258</v>
      </c>
    </row>
    <row r="38" spans="1:3" x14ac:dyDescent="0.25">
      <c r="A38" s="11" t="s">
        <v>57</v>
      </c>
      <c r="B38" s="35" t="s">
        <v>259</v>
      </c>
      <c r="C38" s="52" t="s">
        <v>260</v>
      </c>
    </row>
    <row r="39" spans="1:3" x14ac:dyDescent="0.25">
      <c r="A39" s="11" t="s">
        <v>60</v>
      </c>
      <c r="B39" s="14">
        <v>0.4</v>
      </c>
      <c r="C39" s="52" t="s">
        <v>261</v>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owGridLines="0"/>
  </sheetViews>
  <sheetFormatPr defaultRowHeight="15" outlineLevelRow="0" outlineLevelCol="0" x14ac:dyDescent="55"/>
  <cols>
    <col min="1" max="1" width="25" style="6" customWidth="1"/>
    <col min="2" max="8" width="15" style="7" customWidth="1"/>
  </cols>
  <sheetData>
    <row r="1" spans="1:8" s="8" customFormat="1" x14ac:dyDescent="0.25">
      <c r="A1" s="9" t="s">
        <v>262</v>
      </c>
      <c r="B1" s="10"/>
      <c r="C1" s="10"/>
      <c r="D1" s="10"/>
      <c r="E1" s="10"/>
      <c r="F1" s="10"/>
      <c r="G1" s="10"/>
      <c r="H1" s="10"/>
    </row>
    <row r="2" spans="1:8" x14ac:dyDescent="0.25">
      <c r="A2" s="11" t="s">
        <v>10</v>
      </c>
      <c r="B2" s="12"/>
      <c r="C2" s="12"/>
      <c r="D2" s="12"/>
      <c r="E2" s="12"/>
      <c r="F2" s="12"/>
      <c r="G2" s="12"/>
      <c r="H2" s="12"/>
    </row>
    <row r="4" spans="1:8" x14ac:dyDescent="0.25">
      <c r="A4" s="21" t="s">
        <v>263</v>
      </c>
      <c r="B4" s="58">
        <v>-0.005</v>
      </c>
      <c r="C4" s="58">
        <v>0</v>
      </c>
      <c r="D4" s="58">
        <v>0.005</v>
      </c>
      <c r="E4" s="58">
        <v>0.01</v>
      </c>
      <c r="F4" s="58">
        <v>0.015</v>
      </c>
      <c r="G4" s="58">
        <v>0.02</v>
      </c>
      <c r="H4" s="58">
        <v>0.025</v>
      </c>
    </row>
    <row r="5" spans="1:8" x14ac:dyDescent="0.25">
      <c r="A5" s="59">
        <v>0.0398</v>
      </c>
      <c r="B5" s="60">
        <v>68.06797185428724</v>
      </c>
      <c r="C5" s="60">
        <v>73.33345351057558</v>
      </c>
      <c r="D5" s="60">
        <v>80.08047215335678</v>
      </c>
      <c r="E5" s="60">
        <v>89.05319489595148</v>
      </c>
      <c r="F5" s="60">
        <v>101.5958896661238</v>
      </c>
      <c r="G5" s="60">
        <v>120.4106278753603</v>
      </c>
      <c r="H5" s="60">
        <v>151.8508708754263</v>
      </c>
    </row>
    <row r="6" spans="1:8" x14ac:dyDescent="0.25">
      <c r="A6" s="59">
        <v>0.0498</v>
      </c>
      <c r="B6" s="60">
        <v>53.1827935805111</v>
      </c>
      <c r="C6" s="60">
        <v>56.00928200999665</v>
      </c>
      <c r="D6" s="60">
        <v>59.44386901052543</v>
      </c>
      <c r="E6" s="60">
        <v>63.71463617699981</v>
      </c>
      <c r="F6" s="60">
        <v>69.18072385142256</v>
      </c>
      <c r="G6" s="60">
        <v>76.44227950057399</v>
      </c>
      <c r="H6" s="60">
        <v>86.58340816245429</v>
      </c>
    </row>
    <row r="7" spans="1:8" x14ac:dyDescent="0.25">
      <c r="A7" s="59">
        <v>0.0598</v>
      </c>
      <c r="B7" s="60">
        <v>42.98018421550952</v>
      </c>
      <c r="C7" s="60">
        <v>44.57012771911074</v>
      </c>
      <c r="D7" s="60">
        <v>46.4328263346099</v>
      </c>
      <c r="E7" s="60">
        <v>48.64961170355547</v>
      </c>
      <c r="F7" s="60">
        <v>51.33810778662608</v>
      </c>
      <c r="G7" s="60">
        <v>54.67502738138052</v>
      </c>
      <c r="H7" s="60">
        <v>58.93862080981125</v>
      </c>
    </row>
    <row r="8" spans="1:8" x14ac:dyDescent="0.25">
      <c r="A8" s="59">
        <v>0.0698</v>
      </c>
      <c r="B8" s="60">
        <v>35.57759768278406</v>
      </c>
      <c r="C8" s="60">
        <v>36.48202887632303</v>
      </c>
      <c r="D8" s="60">
        <v>37.51232872347816</v>
      </c>
      <c r="E8" s="60">
        <v>38.69942755466127</v>
      </c>
      <c r="F8" s="60">
        <v>40.08553154996684</v>
      </c>
      <c r="G8" s="60">
        <v>41.72978318271412</v>
      </c>
      <c r="H8" s="60">
        <v>43.71771213808782</v>
      </c>
    </row>
    <row r="9" spans="1:8" x14ac:dyDescent="0.25">
      <c r="A9" s="59">
        <v>0.0798</v>
      </c>
      <c r="B9" s="60">
        <v>29.98075696842998</v>
      </c>
      <c r="C9" s="60">
        <v>30.48145771048125</v>
      </c>
      <c r="D9" s="60">
        <v>31.03802286727201</v>
      </c>
      <c r="E9" s="60">
        <v>31.66194235904167</v>
      </c>
      <c r="F9" s="60">
        <v>32.36824240030129</v>
      </c>
      <c r="G9" s="60">
        <v>33.17696378731073</v>
      </c>
      <c r="H9" s="60">
        <v>34.11544946664784</v>
      </c>
    </row>
    <row r="10" spans="1:8" x14ac:dyDescent="0.25">
      <c r="A10" s="59">
        <v>0.0898</v>
      </c>
      <c r="B10" s="60">
        <v>25.61513831941902</v>
      </c>
      <c r="C10" s="60">
        <v>25.86793236259241</v>
      </c>
      <c r="D10" s="60">
        <v>26.14142090423749</v>
      </c>
      <c r="E10" s="60">
        <v>26.43907136893895</v>
      </c>
      <c r="F10" s="60">
        <v>26.76527019676434</v>
      </c>
      <c r="G10" s="60">
        <v>27.12565192609668</v>
      </c>
      <c r="H10" s="60">
        <v>27.52758062933416</v>
      </c>
    </row>
    <row r="11" spans="1:8" x14ac:dyDescent="0.25">
      <c r="A11" s="59">
        <v>0.0998</v>
      </c>
      <c r="B11" s="60">
        <v>22.12569123027362</v>
      </c>
      <c r="C11" s="60">
        <v>22.22191376740127</v>
      </c>
      <c r="D11" s="60">
        <v>22.32067280911334</v>
      </c>
      <c r="E11" s="60">
        <v>22.42203988907629</v>
      </c>
      <c r="F11" s="60">
        <v>22.52609670702221</v>
      </c>
      <c r="G11" s="60">
        <v>22.63293825006549</v>
      </c>
      <c r="H11" s="60">
        <v>22.74267716564397</v>
      </c>
    </row>
    <row r="12" spans="1:8" x14ac:dyDescent="0.25">
      <c r="A12" s="59">
        <v>0.1098</v>
      </c>
      <c r="B12" s="60">
        <v>19.28123567341584</v>
      </c>
      <c r="C12" s="60">
        <v>19.27685851341083</v>
      </c>
      <c r="D12" s="60">
        <v>19.26563065355866</v>
      </c>
      <c r="E12" s="60">
        <v>19.24622505749921</v>
      </c>
      <c r="F12" s="60">
        <v>19.2170290938339</v>
      </c>
      <c r="G12" s="60">
        <v>19.1760649744862</v>
      </c>
      <c r="H12" s="60">
        <v>19.1208820460566</v>
      </c>
    </row>
    <row r="13" spans="1:8" x14ac:dyDescent="0.25">
      <c r="A13" s="59">
        <v>0.1198</v>
      </c>
      <c r="B13" s="60">
        <v>16.9248232627425</v>
      </c>
      <c r="C13" s="60">
        <v>16.85535312474742</v>
      </c>
      <c r="D13" s="60">
        <v>16.77434373085785</v>
      </c>
      <c r="E13" s="60">
        <v>16.67996488090658</v>
      </c>
      <c r="F13" s="60">
        <v>16.57003231742431</v>
      </c>
      <c r="G13" s="60">
        <v>16.44191898914512</v>
      </c>
      <c r="H13" s="60">
        <v>16.29243823317535</v>
      </c>
    </row>
    <row r="14" spans="1:8" x14ac:dyDescent="0.25">
      <c r="A14" s="59">
        <v>0.1298</v>
      </c>
      <c r="B14" s="60">
        <v>14.94619374551773</v>
      </c>
      <c r="C14" s="60">
        <v>14.83477112451501</v>
      </c>
      <c r="D14" s="60">
        <v>14.70970111683291</v>
      </c>
      <c r="E14" s="60">
        <v>14.56905640733704</v>
      </c>
      <c r="F14" s="60">
        <v>14.41056980925788</v>
      </c>
      <c r="G14" s="60">
        <v>14.231556841688</v>
      </c>
      <c r="H14" s="60">
        <v>14.0288161440069</v>
      </c>
    </row>
    <row r="15" spans="1:8" x14ac:dyDescent="0.25">
      <c r="A15" s="59">
        <v>0.1398</v>
      </c>
      <c r="B15" s="60">
        <v>13.26564530122248</v>
      </c>
      <c r="C15" s="60">
        <v>13.12767029415183</v>
      </c>
      <c r="D15" s="60">
        <v>12.97537351649197</v>
      </c>
      <c r="E15" s="60">
        <v>12.80691030022599</v>
      </c>
      <c r="F15" s="60">
        <v>12.62013680948542</v>
      </c>
      <c r="G15" s="60">
        <v>12.41254757690266</v>
      </c>
      <c r="H15" s="60">
        <v>12.18119671658864</v>
      </c>
    </row>
    <row r="17" spans="1:8" s="61" customFormat="1" x14ac:dyDescent="0.25">
      <c r="A17" s="62" t="s">
        <v>264</v>
      </c>
      <c r="B17" s="63"/>
      <c r="C17" s="63"/>
      <c r="D17" s="63"/>
      <c r="E17" s="63"/>
      <c r="F17" s="63"/>
      <c r="G17" s="63"/>
      <c r="H17" s="63"/>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4" customWidth="1"/>
  </cols>
  <sheetData>
    <row r="1" spans="1:4" s="8" customFormat="1" x14ac:dyDescent="0.25">
      <c r="A1" s="9" t="s">
        <v>265</v>
      </c>
      <c r="B1" s="65"/>
      <c r="C1" s="65"/>
      <c r="D1" s="65"/>
    </row>
    <row r="2" spans="1:4" x14ac:dyDescent="0.25">
      <c r="A2" s="11" t="s">
        <v>10</v>
      </c>
      <c r="B2" s="66"/>
      <c r="C2" s="66"/>
      <c r="D2" s="66"/>
    </row>
    <row r="4" spans="1:4" x14ac:dyDescent="0.25">
      <c r="A4" s="11" t="s">
        <v>20</v>
      </c>
      <c r="B4" s="14">
        <v>0.1880396270751953</v>
      </c>
      <c r="C4" s="66" t="s">
        <v>63</v>
      </c>
      <c r="D4" s="66" t="s">
        <v>63</v>
      </c>
    </row>
    <row r="6" spans="1:4" s="32" customFormat="1" x14ac:dyDescent="0.25">
      <c r="A6" s="21" t="s">
        <v>266</v>
      </c>
      <c r="B6" s="67" t="s">
        <v>267</v>
      </c>
      <c r="C6" s="67" t="s">
        <v>268</v>
      </c>
      <c r="D6" s="67" t="s">
        <v>269</v>
      </c>
    </row>
    <row r="7" spans="1:4" x14ac:dyDescent="0.25">
      <c r="A7" s="11" t="s">
        <v>49</v>
      </c>
      <c r="B7" s="14">
        <v>0.055</v>
      </c>
      <c r="C7" s="14">
        <v>0.03354435460781142</v>
      </c>
      <c r="D7" s="14">
        <v>-0.021455645392188583</v>
      </c>
    </row>
    <row r="8" spans="1:4" x14ac:dyDescent="0.25">
      <c r="A8" s="11" t="s">
        <v>47</v>
      </c>
      <c r="B8" s="68">
        <v>1.7</v>
      </c>
      <c r="C8" s="68">
        <v>1.036825506059626</v>
      </c>
      <c r="D8" s="68">
        <v>-0.6631744939403739</v>
      </c>
    </row>
    <row r="9" spans="1:4" x14ac:dyDescent="0.25">
      <c r="A9" s="11" t="s">
        <v>55</v>
      </c>
      <c r="B9" s="14">
        <v>0.1</v>
      </c>
      <c r="C9" s="14">
        <v>0.06098973565056623</v>
      </c>
      <c r="D9" s="14">
        <v>-0.039010264349433776</v>
      </c>
    </row>
    <row r="11" spans="1:4" s="17" customFormat="1" x14ac:dyDescent="0.25">
      <c r="A11" s="18" t="s">
        <v>270</v>
      </c>
      <c r="B11" s="69"/>
      <c r="C11" s="69"/>
      <c r="D11" s="69"/>
    </row>
    <row r="12" spans="1:4" s="32" customFormat="1" x14ac:dyDescent="0.25">
      <c r="A12" s="21" t="s">
        <v>271</v>
      </c>
      <c r="B12" s="67" t="s">
        <v>272</v>
      </c>
      <c r="C12" s="70"/>
      <c r="D12" s="70"/>
    </row>
    <row r="13" spans="1:4" x14ac:dyDescent="0.25">
      <c r="A13" s="11" t="s">
        <v>273</v>
      </c>
      <c r="B13" s="71">
        <v>-9.373544558183314</v>
      </c>
      <c r="C13" s="66"/>
      <c r="D13" s="66"/>
    </row>
    <row r="14" spans="1:4" x14ac:dyDescent="0.25">
      <c r="A14" s="11" t="s">
        <v>274</v>
      </c>
      <c r="B14" s="71">
        <v>8.13950157681019</v>
      </c>
      <c r="C14" s="66"/>
      <c r="D14" s="66"/>
    </row>
    <row r="15" spans="1:4" x14ac:dyDescent="0.25">
      <c r="A15" s="11" t="s">
        <v>166</v>
      </c>
      <c r="B15" s="72">
        <v>12.24093947854444</v>
      </c>
      <c r="C15" s="66"/>
      <c r="D15" s="66"/>
    </row>
    <row r="16" spans="1:4" x14ac:dyDescent="0.25">
      <c r="A16" s="11" t="s">
        <v>275</v>
      </c>
      <c r="B16" s="72">
        <v>15.03467630122516</v>
      </c>
      <c r="C16" s="66"/>
      <c r="D16" s="66"/>
    </row>
    <row r="17" spans="1:4" x14ac:dyDescent="0.25">
      <c r="A17" s="11" t="s">
        <v>276</v>
      </c>
      <c r="B17" s="72">
        <v>17.51989680349541</v>
      </c>
      <c r="C17" s="66"/>
      <c r="D17" s="66"/>
    </row>
    <row r="18" spans="1:4" x14ac:dyDescent="0.25">
      <c r="A18" s="11" t="s">
        <v>167</v>
      </c>
      <c r="B18" s="73">
        <v>19.52320331118361</v>
      </c>
      <c r="C18" s="66"/>
      <c r="D18" s="66"/>
    </row>
    <row r="19" spans="1:4" x14ac:dyDescent="0.25">
      <c r="A19" s="11" t="s">
        <v>277</v>
      </c>
      <c r="B19" s="73">
        <v>21.34800321981449</v>
      </c>
      <c r="C19" s="66"/>
      <c r="D19" s="66"/>
    </row>
    <row r="20" spans="1:4" x14ac:dyDescent="0.25">
      <c r="A20" s="11" t="s">
        <v>278</v>
      </c>
      <c r="B20" s="73">
        <v>22.87153960951298</v>
      </c>
      <c r="C20" s="66"/>
      <c r="D20" s="66"/>
    </row>
    <row r="21" spans="1:4" x14ac:dyDescent="0.25">
      <c r="A21" s="11" t="s">
        <v>279</v>
      </c>
      <c r="B21" s="73">
        <v>24.38704352550782</v>
      </c>
      <c r="C21" s="66"/>
      <c r="D21" s="66"/>
    </row>
    <row r="22" spans="1:4" x14ac:dyDescent="0.25">
      <c r="A22" s="11" t="s">
        <v>280</v>
      </c>
      <c r="B22" s="73">
        <v>25.94376188458197</v>
      </c>
      <c r="C22" s="66"/>
      <c r="D22" s="66"/>
    </row>
    <row r="23" spans="1:4" x14ac:dyDescent="0.25">
      <c r="A23" s="11" t="s">
        <v>168</v>
      </c>
      <c r="B23" s="73">
        <v>27.3963562881634</v>
      </c>
      <c r="C23" s="66"/>
      <c r="D23" s="66"/>
    </row>
    <row r="24" spans="1:4" x14ac:dyDescent="0.25">
      <c r="A24" s="11" t="s">
        <v>281</v>
      </c>
      <c r="B24" s="73">
        <v>28.98609055626896</v>
      </c>
      <c r="C24" s="66"/>
      <c r="D24" s="66"/>
    </row>
    <row r="25" spans="1:4" x14ac:dyDescent="0.25">
      <c r="A25" s="11" t="s">
        <v>282</v>
      </c>
      <c r="B25" s="73">
        <v>30.43922324403036</v>
      </c>
      <c r="C25" s="66"/>
      <c r="D25" s="66"/>
    </row>
    <row r="26" spans="1:4" x14ac:dyDescent="0.25">
      <c r="A26" s="11" t="s">
        <v>283</v>
      </c>
      <c r="B26" s="73">
        <v>31.94219887553624</v>
      </c>
      <c r="C26" s="66"/>
      <c r="D26" s="66"/>
    </row>
    <row r="27" spans="1:4" x14ac:dyDescent="0.25">
      <c r="A27" s="11" t="s">
        <v>284</v>
      </c>
      <c r="B27" s="73">
        <v>33.54745659842614</v>
      </c>
      <c r="C27" s="66"/>
      <c r="D27" s="66"/>
    </row>
    <row r="28" spans="1:4" x14ac:dyDescent="0.25">
      <c r="A28" s="11" t="s">
        <v>169</v>
      </c>
      <c r="B28" s="74">
        <v>35.34362384283317</v>
      </c>
      <c r="C28" s="66"/>
      <c r="D28" s="66"/>
    </row>
    <row r="29" spans="1:4" x14ac:dyDescent="0.25">
      <c r="A29" s="11" t="s">
        <v>285</v>
      </c>
      <c r="B29" s="74">
        <v>37.2191370428474</v>
      </c>
      <c r="C29" s="66"/>
      <c r="D29" s="66"/>
    </row>
    <row r="30" spans="1:4" x14ac:dyDescent="0.25">
      <c r="A30" s="11" t="s">
        <v>286</v>
      </c>
      <c r="B30" s="74">
        <v>39.49658950695062</v>
      </c>
      <c r="C30" s="66"/>
      <c r="D30" s="66"/>
    </row>
    <row r="31" spans="1:4" x14ac:dyDescent="0.25">
      <c r="A31" s="11" t="s">
        <v>170</v>
      </c>
      <c r="B31" s="75">
        <v>42.19792654531828</v>
      </c>
      <c r="C31" s="66"/>
      <c r="D31" s="66"/>
    </row>
    <row r="32" spans="1:4" x14ac:dyDescent="0.25">
      <c r="A32" s="11" t="s">
        <v>287</v>
      </c>
      <c r="B32" s="75">
        <v>46.20094975765678</v>
      </c>
      <c r="C32" s="66"/>
      <c r="D32" s="66"/>
    </row>
    <row r="33" spans="1:4" x14ac:dyDescent="0.25">
      <c r="A33" s="11" t="s">
        <v>288</v>
      </c>
      <c r="B33" s="75">
        <v>68.23348009813115</v>
      </c>
      <c r="C33" s="66"/>
      <c r="D33" s="66"/>
    </row>
    <row r="34" spans="1:4" x14ac:dyDescent="0.25">
      <c r="A34" s="76" t="s">
        <v>289</v>
      </c>
      <c r="B34" s="66"/>
      <c r="C34" s="66"/>
      <c r="D34" s="66"/>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9</v>
      </c>
      <c r="B1" s="10"/>
    </row>
    <row r="2" spans="1:2" x14ac:dyDescent="0.25">
      <c r="A2" s="11" t="s">
        <v>10</v>
      </c>
      <c r="B2" s="12"/>
    </row>
    <row r="4" spans="1:2" x14ac:dyDescent="0.25">
      <c r="A4" s="11" t="s">
        <v>11</v>
      </c>
      <c r="B4" s="12" t="s">
        <v>12</v>
      </c>
    </row>
    <row r="5" spans="1:2" x14ac:dyDescent="0.25">
      <c r="A5" s="11" t="s">
        <v>13</v>
      </c>
      <c r="B5" s="12" t="s">
        <v>14</v>
      </c>
    </row>
    <row r="6" spans="1:2" x14ac:dyDescent="0.25">
      <c r="A6" s="11" t="s">
        <v>15</v>
      </c>
      <c r="B6" s="12" t="s">
        <v>16</v>
      </c>
    </row>
    <row r="7" spans="1:2" x14ac:dyDescent="0.25">
      <c r="A7" s="11" t="s">
        <v>17</v>
      </c>
      <c r="B7" s="13">
        <v>6.642048</v>
      </c>
    </row>
    <row r="8" spans="1:2" x14ac:dyDescent="0.25">
      <c r="A8" s="11" t="s">
        <v>18</v>
      </c>
      <c r="B8" s="13">
        <v>27.55433572968962</v>
      </c>
    </row>
    <row r="9" spans="1:2" x14ac:dyDescent="0.25">
      <c r="A9" s="11" t="s">
        <v>19</v>
      </c>
      <c r="B9" s="14">
        <v>3.148469828837373</v>
      </c>
    </row>
    <row r="10" spans="1:2" x14ac:dyDescent="0.25">
      <c r="A10" s="11" t="s">
        <v>20</v>
      </c>
      <c r="B10" s="14">
        <v>0.1880396270751953</v>
      </c>
    </row>
    <row r="11" spans="1:2" x14ac:dyDescent="0.25">
      <c r="A11" s="11" t="s">
        <v>21</v>
      </c>
      <c r="B11" s="12" t="s">
        <v>22</v>
      </c>
    </row>
    <row r="12" spans="1:2" x14ac:dyDescent="0.25">
      <c r="A12" s="11" t="s">
        <v>23</v>
      </c>
      <c r="B12" s="15">
        <v>46072.33842552084</v>
      </c>
    </row>
    <row r="13" spans="1:2" x14ac:dyDescent="0.25">
      <c r="A13" s="11" t="s">
        <v>24</v>
      </c>
      <c r="B13" s="15">
        <v>45657</v>
      </c>
    </row>
    <row r="14" spans="1:2" x14ac:dyDescent="0.25">
      <c r="A14" s="11" t="s">
        <v>25</v>
      </c>
      <c r="B14" s="12" t="s">
        <v>26</v>
      </c>
    </row>
    <row r="15" spans="1:2" x14ac:dyDescent="0.25">
      <c r="A15" s="11" t="s">
        <v>27</v>
      </c>
      <c r="B15" s="12" t="s">
        <v>28</v>
      </c>
    </row>
    <row r="16" spans="1:2" x14ac:dyDescent="0.25">
      <c r="A16" s="11" t="s">
        <v>29</v>
      </c>
      <c r="B16" s="12" t="s">
        <v>30</v>
      </c>
    </row>
    <row r="17" spans="1:2" x14ac:dyDescent="0.25">
      <c r="A17" s="11" t="s">
        <v>31</v>
      </c>
      <c r="B17" s="12" t="s">
        <v>32</v>
      </c>
    </row>
    <row r="18" spans="1:2" x14ac:dyDescent="0.25">
      <c r="A18" s="11" t="s">
        <v>33</v>
      </c>
      <c r="B18" s="12" t="s">
        <v>34</v>
      </c>
    </row>
    <row r="19" spans="1:2" x14ac:dyDescent="0.25">
      <c r="A19" s="11" t="s">
        <v>35</v>
      </c>
      <c r="B19" s="16">
        <v>19187.04354645658</v>
      </c>
    </row>
    <row r="20" spans="1:2" x14ac:dyDescent="0.25">
      <c r="A20" s="11" t="s">
        <v>36</v>
      </c>
      <c r="B20" s="16">
        <v>2888.724012</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37</v>
      </c>
      <c r="B1" s="10"/>
      <c r="C1" s="9"/>
    </row>
    <row r="2" spans="1:3" x14ac:dyDescent="0.25">
      <c r="A2" s="11" t="s">
        <v>38</v>
      </c>
      <c r="B2" s="12"/>
      <c r="C2" s="11"/>
    </row>
    <row r="4" spans="1:3" s="17" customFormat="1" x14ac:dyDescent="0.25">
      <c r="A4" s="18" t="s">
        <v>39</v>
      </c>
      <c r="B4" s="18"/>
      <c r="C4" s="18"/>
    </row>
    <row r="5" spans="1:3" x14ac:dyDescent="0.25">
      <c r="A5" s="11" t="s">
        <v>40</v>
      </c>
      <c r="B5" s="11"/>
      <c r="C5" s="11"/>
    </row>
    <row r="7" spans="1:3" s="17" customFormat="1" x14ac:dyDescent="0.25">
      <c r="A7" s="18" t="s">
        <v>37</v>
      </c>
      <c r="B7" s="18"/>
      <c r="C7" s="18"/>
    </row>
    <row r="8" spans="1:3" x14ac:dyDescent="0.25">
      <c r="A8" s="11" t="s">
        <v>41</v>
      </c>
      <c r="B8" s="19">
        <v>0.035</v>
      </c>
      <c r="C8" s="11" t="s">
        <v>42</v>
      </c>
    </row>
    <row r="9" spans="1:3" x14ac:dyDescent="0.25">
      <c r="A9" s="11" t="s">
        <v>43</v>
      </c>
      <c r="B9" s="19">
        <v>0.025</v>
      </c>
      <c r="C9" s="11" t="s">
        <v>44</v>
      </c>
    </row>
    <row r="10" spans="1:3" x14ac:dyDescent="0.25">
      <c r="A10" s="11" t="s">
        <v>45</v>
      </c>
      <c r="B10" s="20">
        <v>8</v>
      </c>
      <c r="C10" s="11" t="s">
        <v>46</v>
      </c>
    </row>
    <row r="11" spans="1:3" x14ac:dyDescent="0.25">
      <c r="A11" s="11" t="s">
        <v>47</v>
      </c>
      <c r="B11" s="20">
        <v>1.7</v>
      </c>
      <c r="C11" s="11" t="s">
        <v>48</v>
      </c>
    </row>
    <row r="12" spans="1:3" x14ac:dyDescent="0.25">
      <c r="A12" s="11" t="s">
        <v>49</v>
      </c>
      <c r="B12" s="19">
        <v>0.055</v>
      </c>
      <c r="C12" s="11" t="s">
        <v>50</v>
      </c>
    </row>
    <row r="13" spans="1:3" x14ac:dyDescent="0.25">
      <c r="A13" s="11" t="s">
        <v>51</v>
      </c>
      <c r="B13" s="19">
        <v>0</v>
      </c>
      <c r="C13" s="11" t="s">
        <v>52</v>
      </c>
    </row>
    <row r="14" spans="1:3" x14ac:dyDescent="0.25">
      <c r="A14" s="11" t="s">
        <v>53</v>
      </c>
      <c r="B14" s="20">
        <v>6</v>
      </c>
      <c r="C14" s="11" t="s">
        <v>54</v>
      </c>
    </row>
    <row r="15" spans="1:3" x14ac:dyDescent="0.25">
      <c r="A15" s="11" t="s">
        <v>55</v>
      </c>
      <c r="B15" s="19">
        <v>0.1</v>
      </c>
      <c r="C15" s="11" t="s">
        <v>56</v>
      </c>
    </row>
    <row r="16" spans="1:3" x14ac:dyDescent="0.25">
      <c r="A16" s="11" t="s">
        <v>57</v>
      </c>
      <c r="B16" s="12" t="s">
        <v>58</v>
      </c>
      <c r="C16" s="11" t="s">
        <v>59</v>
      </c>
    </row>
    <row r="17" spans="1:3" x14ac:dyDescent="0.25">
      <c r="A17" s="11" t="s">
        <v>60</v>
      </c>
      <c r="B17" s="19">
        <v>0.45</v>
      </c>
      <c r="C17" s="11" t="s">
        <v>61</v>
      </c>
    </row>
  </sheetData>
  <mergeCells count="3">
    <mergeCell ref="A4:C4"/>
    <mergeCell ref="A5:C5"/>
    <mergeCell ref="A7:C7"/>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62</v>
      </c>
      <c r="B1" s="10"/>
      <c r="C1" s="10"/>
      <c r="D1" s="10"/>
      <c r="E1" s="10"/>
      <c r="F1" s="10"/>
      <c r="G1" s="10"/>
      <c r="H1" s="10"/>
      <c r="I1" s="10"/>
      <c r="J1" s="10"/>
      <c r="K1" s="10"/>
      <c r="L1" s="10"/>
      <c r="M1" s="10"/>
      <c r="N1" s="10"/>
      <c r="O1" s="10"/>
      <c r="P1" s="10"/>
      <c r="Q1" s="10"/>
      <c r="R1" s="10"/>
      <c r="S1" s="10"/>
      <c r="T1" s="10"/>
      <c r="U1" s="10"/>
      <c r="V1" s="10"/>
      <c r="W1" s="10"/>
    </row>
    <row r="2" spans="1:23" x14ac:dyDescent="0.25">
      <c r="A2" s="11" t="s">
        <v>10</v>
      </c>
      <c r="B2" s="12"/>
      <c r="C2" s="12"/>
      <c r="D2" s="12"/>
      <c r="E2" s="12"/>
      <c r="F2" s="12"/>
      <c r="G2" s="12"/>
      <c r="H2" s="12"/>
      <c r="I2" s="12"/>
      <c r="J2" s="12"/>
      <c r="K2" s="12"/>
      <c r="L2" s="12"/>
      <c r="M2" s="12"/>
      <c r="N2" s="12"/>
      <c r="O2" s="12"/>
      <c r="P2" s="12"/>
      <c r="Q2" s="12"/>
      <c r="R2" s="12"/>
      <c r="S2" s="12"/>
      <c r="T2" s="12"/>
      <c r="U2" s="12"/>
      <c r="V2" s="12"/>
      <c r="W2" s="12"/>
    </row>
    <row r="4" spans="1:23" x14ac:dyDescent="0.25">
      <c r="A4" s="21" t="s">
        <v>63</v>
      </c>
      <c r="B4" s="22" t="s">
        <v>64</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65</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66</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67</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68</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69</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70</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71</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72</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73</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74</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75</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76</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77</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78</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79</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80</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81</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82</v>
      </c>
      <c r="B23" s="14">
        <v>0.032</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83</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84</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85</v>
      </c>
      <c r="B26" s="28">
        <v>0</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86</v>
      </c>
      <c r="B27" s="28">
        <v>2400</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87</v>
      </c>
      <c r="B28" s="24">
        <f>=B25-B26-B27</f>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88</v>
      </c>
      <c r="B29" s="29">
        <f>=Summary!B20</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89</v>
      </c>
      <c r="B30" s="30">
        <f>=B28/B29</f>
      </c>
      <c r="C30" s="12"/>
      <c r="D30" s="12"/>
      <c r="E30" s="12"/>
      <c r="F30" s="12"/>
      <c r="G30" s="12"/>
      <c r="H30" s="12"/>
      <c r="I30" s="12"/>
      <c r="J30" s="12"/>
      <c r="K30" s="12"/>
      <c r="L30" s="12"/>
      <c r="M30" s="12"/>
      <c r="N30" s="12"/>
      <c r="O30" s="12"/>
      <c r="P30" s="12"/>
      <c r="Q30" s="12"/>
      <c r="R30" s="12"/>
      <c r="S30" s="12"/>
      <c r="T30" s="12"/>
      <c r="U30" s="12"/>
      <c r="V30" s="12"/>
      <c r="W30" s="12"/>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90</v>
      </c>
      <c r="B1" s="10"/>
      <c r="C1" s="9"/>
      <c r="D1" s="10"/>
      <c r="E1" s="10"/>
      <c r="F1" s="10"/>
    </row>
    <row r="2" spans="1:6" x14ac:dyDescent="0.25">
      <c r="A2" s="11" t="s">
        <v>10</v>
      </c>
      <c r="B2" s="12"/>
      <c r="C2" s="11"/>
      <c r="D2" s="12"/>
      <c r="E2" s="12"/>
      <c r="F2" s="12"/>
    </row>
    <row r="4" spans="1:6" s="17" customFormat="1" x14ac:dyDescent="0.25">
      <c r="A4" s="18" t="s">
        <v>91</v>
      </c>
      <c r="B4" s="31"/>
      <c r="C4" s="18"/>
      <c r="D4" s="31"/>
      <c r="E4" s="31"/>
      <c r="F4" s="31"/>
    </row>
    <row r="5" spans="1:6" s="32" customFormat="1" x14ac:dyDescent="0.25">
      <c r="A5" s="21" t="s">
        <v>92</v>
      </c>
      <c r="B5" s="22" t="s">
        <v>93</v>
      </c>
      <c r="C5" s="21" t="s">
        <v>94</v>
      </c>
      <c r="D5" s="22" t="s">
        <v>95</v>
      </c>
      <c r="E5" s="22" t="s">
        <v>96</v>
      </c>
      <c r="F5" s="22" t="s">
        <v>97</v>
      </c>
    </row>
    <row r="6" spans="1:6" x14ac:dyDescent="0.25">
      <c r="A6" s="33">
        <v>0</v>
      </c>
      <c r="B6" s="13">
        <v>0</v>
      </c>
      <c r="C6" s="34">
        <v>0</v>
      </c>
      <c r="D6" s="14">
        <v>0</v>
      </c>
      <c r="E6" s="14">
        <v>0</v>
      </c>
      <c r="F6" s="35"/>
    </row>
    <row r="8" spans="1:6" s="17" customFormat="1" x14ac:dyDescent="0.25">
      <c r="A8" s="18" t="s">
        <v>98</v>
      </c>
      <c r="B8" s="31"/>
      <c r="C8" s="18"/>
      <c r="D8" s="31"/>
      <c r="E8" s="31"/>
      <c r="F8" s="31"/>
    </row>
    <row r="9" spans="1:6" s="32" customFormat="1" x14ac:dyDescent="0.25">
      <c r="A9" s="21" t="s">
        <v>99</v>
      </c>
      <c r="B9" s="22" t="s">
        <v>97</v>
      </c>
      <c r="C9" s="21" t="s">
        <v>100</v>
      </c>
      <c r="D9" s="36"/>
      <c r="E9" s="36"/>
      <c r="F9" s="36"/>
    </row>
    <row r="10" spans="1:6" x14ac:dyDescent="0.25">
      <c r="A10" s="11" t="s">
        <v>101</v>
      </c>
      <c r="B10" s="16">
        <v>2400</v>
      </c>
      <c r="C10" s="11" t="s">
        <v>102</v>
      </c>
      <c r="D10" s="12"/>
      <c r="E10" s="12"/>
      <c r="F10" s="12"/>
    </row>
    <row r="11" spans="1:6" x14ac:dyDescent="0.25">
      <c r="A11" s="11" t="s">
        <v>103</v>
      </c>
      <c r="B11" s="16">
        <v>0</v>
      </c>
      <c r="C11" s="11" t="s">
        <v>63</v>
      </c>
      <c r="D11" s="12"/>
      <c r="E11" s="12"/>
      <c r="F11" s="12"/>
    </row>
    <row r="12" spans="1:6" x14ac:dyDescent="0.25">
      <c r="A12" s="11" t="s">
        <v>104</v>
      </c>
      <c r="B12" s="16">
        <v>0</v>
      </c>
      <c r="C12" s="11" t="s">
        <v>63</v>
      </c>
      <c r="D12" s="12"/>
      <c r="E12" s="12"/>
      <c r="F12" s="12"/>
    </row>
    <row r="13" spans="1:6" x14ac:dyDescent="0.25">
      <c r="A13" s="11" t="s">
        <v>105</v>
      </c>
      <c r="B13" s="16">
        <v>0</v>
      </c>
      <c r="C13" s="11" t="s">
        <v>63</v>
      </c>
      <c r="D13" s="12"/>
      <c r="E13" s="12"/>
      <c r="F13" s="12"/>
    </row>
    <row r="14" spans="1:6" x14ac:dyDescent="0.25">
      <c r="A14" s="11" t="s">
        <v>106</v>
      </c>
      <c r="B14" s="16">
        <v>0</v>
      </c>
      <c r="C14" s="11" t="s">
        <v>63</v>
      </c>
      <c r="D14" s="12"/>
      <c r="E14" s="12"/>
      <c r="F14" s="12"/>
    </row>
    <row r="15" spans="1:6" x14ac:dyDescent="0.25">
      <c r="A15" s="11" t="s">
        <v>107</v>
      </c>
      <c r="B15" s="16">
        <v>0</v>
      </c>
      <c r="C15" s="11" t="s">
        <v>63</v>
      </c>
      <c r="D15" s="12"/>
      <c r="E15" s="12"/>
      <c r="F15" s="12"/>
    </row>
    <row r="16" spans="1:6" x14ac:dyDescent="0.25">
      <c r="A16" s="11" t="s">
        <v>108</v>
      </c>
      <c r="B16" s="16">
        <v>0</v>
      </c>
      <c r="C16" s="11" t="s">
        <v>63</v>
      </c>
      <c r="D16" s="12"/>
      <c r="E16" s="12"/>
      <c r="F16" s="12"/>
    </row>
  </sheetData>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109</v>
      </c>
      <c r="B1" s="10"/>
      <c r="C1" s="10"/>
      <c r="D1" s="10"/>
      <c r="E1" s="10"/>
      <c r="F1" s="10"/>
    </row>
    <row r="2" spans="1:6" x14ac:dyDescent="0.25">
      <c r="A2" s="11" t="s">
        <v>10</v>
      </c>
      <c r="B2" s="12"/>
      <c r="C2" s="12"/>
      <c r="D2" s="12"/>
      <c r="E2" s="12"/>
      <c r="F2" s="12"/>
    </row>
    <row r="4" spans="1:6" x14ac:dyDescent="0.25">
      <c r="A4" s="21" t="s">
        <v>110</v>
      </c>
      <c r="B4" s="37">
        <v>2024</v>
      </c>
      <c r="C4" s="37">
        <v>2023</v>
      </c>
      <c r="D4" s="37">
        <v>2022</v>
      </c>
      <c r="E4" s="37">
        <v>2021</v>
      </c>
      <c r="F4" s="37">
        <v>2020</v>
      </c>
    </row>
    <row r="5" spans="1:6" x14ac:dyDescent="0.25">
      <c r="A5" s="11" t="s">
        <v>65</v>
      </c>
      <c r="B5" s="16">
        <v>156878</v>
      </c>
      <c r="C5" s="16">
        <v>189544</v>
      </c>
      <c r="D5" s="16">
        <v>179592</v>
      </c>
      <c r="E5" s="16">
        <v>149419</v>
      </c>
      <c r="F5" s="16">
        <v>47656</v>
      </c>
    </row>
    <row r="6" spans="1:6" x14ac:dyDescent="0.25">
      <c r="A6" s="11" t="s">
        <v>111</v>
      </c>
      <c r="B6" s="14">
        <v>-0.1723</v>
      </c>
      <c r="C6" s="14">
        <v>0.0554</v>
      </c>
      <c r="D6" s="14">
        <v>0.2019</v>
      </c>
      <c r="E6" s="14">
        <v>2.1354</v>
      </c>
      <c r="F6" s="14">
        <v>-0.5595</v>
      </c>
    </row>
    <row r="7" spans="1:6" x14ac:dyDescent="0.25">
      <c r="A7" s="11" t="s">
        <v>112</v>
      </c>
      <c r="B7" s="16">
        <v>6896.6</v>
      </c>
      <c r="C7" s="16">
        <v>20591.95</v>
      </c>
      <c r="D7" s="16">
        <v>19359.95</v>
      </c>
      <c r="E7" s="16">
        <v>17033.8</v>
      </c>
      <c r="F7" s="16">
        <v>-890.95</v>
      </c>
    </row>
    <row r="8" spans="1:6" x14ac:dyDescent="0.25">
      <c r="A8" s="11" t="s">
        <v>113</v>
      </c>
      <c r="B8" s="14">
        <v>0.04396154973928786</v>
      </c>
      <c r="C8" s="14">
        <v>0.108639418815684</v>
      </c>
      <c r="D8" s="14">
        <v>0.1077996235912513</v>
      </c>
      <c r="E8" s="14">
        <v>0.1140002275480361</v>
      </c>
      <c r="F8" s="14">
        <v>-0.01869544233674669</v>
      </c>
    </row>
    <row r="9" spans="1:6" x14ac:dyDescent="0.25">
      <c r="A9" s="11" t="s">
        <v>114</v>
      </c>
      <c r="B9" s="16">
        <v>-650.4</v>
      </c>
      <c r="C9" s="16">
        <v>14041.95</v>
      </c>
      <c r="D9" s="16">
        <v>15083.95</v>
      </c>
      <c r="E9" s="16">
        <v>13072.8</v>
      </c>
      <c r="F9" s="16">
        <v>-1053.95</v>
      </c>
    </row>
    <row r="10" spans="1:6" x14ac:dyDescent="0.25">
      <c r="A10" s="11" t="s">
        <v>115</v>
      </c>
      <c r="B10" s="16">
        <v>7547</v>
      </c>
      <c r="C10" s="16">
        <v>6550</v>
      </c>
      <c r="D10" s="16">
        <v>4276</v>
      </c>
      <c r="E10" s="16">
        <v>3961</v>
      </c>
      <c r="F10" s="16">
        <v>163</v>
      </c>
    </row>
    <row r="11" spans="1:6" x14ac:dyDescent="0.25">
      <c r="A11" s="11" t="s">
        <v>116</v>
      </c>
      <c r="B11" s="16">
        <v>104516.55</v>
      </c>
      <c r="C11" s="16">
        <v>103093.95</v>
      </c>
      <c r="D11" s="16">
        <v>91404</v>
      </c>
      <c r="E11" s="16">
        <v>72751.05</v>
      </c>
      <c r="F11" s="16">
        <v>39747.25</v>
      </c>
    </row>
    <row r="12" spans="1:6" x14ac:dyDescent="0.25">
      <c r="A12" s="11" t="s">
        <v>117</v>
      </c>
      <c r="B12" s="14">
        <v>0.06598572187849676</v>
      </c>
      <c r="C12" s="14">
        <v>0.1997396549458043</v>
      </c>
      <c r="D12" s="14">
        <v>0.2118063760885738</v>
      </c>
      <c r="E12" s="14">
        <v>0.2341382014417661</v>
      </c>
      <c r="F12" s="14">
        <v>-0.02241538722804722</v>
      </c>
    </row>
    <row r="13" spans="1:6" x14ac:dyDescent="0.25">
      <c r="A13" s="11" t="s">
        <v>118</v>
      </c>
      <c r="B13" s="16">
        <v>1.500987164233798</v>
      </c>
      <c r="C13" s="16">
        <v>1.838555996738897</v>
      </c>
      <c r="D13" s="16">
        <v>1.964815544177498</v>
      </c>
      <c r="E13" s="16">
        <v>2.053839772759293</v>
      </c>
      <c r="F13" s="16">
        <v>1.198976029788224</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s>
  <sheetData>
    <row r="1" spans="1:6" s="8" customFormat="1" x14ac:dyDescent="0.25">
      <c r="A1" s="9" t="s">
        <v>119</v>
      </c>
      <c r="B1" s="10"/>
      <c r="C1" s="39"/>
      <c r="D1" s="10"/>
      <c r="E1" s="39"/>
      <c r="F1" s="10"/>
    </row>
    <row r="2" spans="1:6" x14ac:dyDescent="0.25">
      <c r="A2" s="11" t="s">
        <v>38</v>
      </c>
      <c r="B2" s="12"/>
      <c r="C2" s="40"/>
      <c r="D2" s="12"/>
      <c r="E2" s="40"/>
      <c r="F2" s="12"/>
    </row>
    <row r="4" spans="1:6" x14ac:dyDescent="0.25">
      <c r="A4" s="18" t="s">
        <v>120</v>
      </c>
      <c r="B4" s="12"/>
      <c r="C4" s="40"/>
      <c r="D4" s="12"/>
      <c r="E4" s="40"/>
      <c r="F4" s="12"/>
    </row>
    <row r="5" spans="1:6" s="32" customFormat="1" x14ac:dyDescent="0.25">
      <c r="A5" s="21" t="s">
        <v>121</v>
      </c>
      <c r="B5" s="22" t="s">
        <v>122</v>
      </c>
      <c r="C5" s="41" t="s">
        <v>111</v>
      </c>
      <c r="D5" s="22" t="s">
        <v>123</v>
      </c>
      <c r="E5" s="41" t="s">
        <v>111</v>
      </c>
      <c r="F5" s="22" t="s">
        <v>124</v>
      </c>
    </row>
    <row r="6" spans="1:6" x14ac:dyDescent="0.25">
      <c r="A6" s="11" t="s">
        <v>125</v>
      </c>
      <c r="B6" s="16">
        <v>1245</v>
      </c>
      <c r="C6" s="14">
        <v>0.15384615384615385</v>
      </c>
      <c r="D6" s="16">
        <v>1079</v>
      </c>
      <c r="E6" s="40"/>
      <c r="F6" s="16">
        <v>0</v>
      </c>
    </row>
    <row r="7" spans="1:6" x14ac:dyDescent="0.25">
      <c r="A7" s="11" t="s">
        <v>126</v>
      </c>
      <c r="B7" s="16">
        <v>1413</v>
      </c>
      <c r="C7" s="14">
        <v>-0.07283464566929133</v>
      </c>
      <c r="D7" s="16">
        <v>1524</v>
      </c>
      <c r="E7" s="14">
        <v>-0.4427787934186472</v>
      </c>
      <c r="F7" s="16">
        <v>2735</v>
      </c>
    </row>
    <row r="8" spans="1:6" x14ac:dyDescent="0.25">
      <c r="A8" s="11" t="s">
        <v>127</v>
      </c>
      <c r="B8" s="16">
        <v>1062</v>
      </c>
      <c r="C8" s="14">
        <v>0.3078817733990148</v>
      </c>
      <c r="D8" s="16">
        <v>812</v>
      </c>
      <c r="E8" s="14">
        <v>0.01373283395755306</v>
      </c>
      <c r="F8" s="16">
        <v>801</v>
      </c>
    </row>
    <row r="9" spans="1:6" x14ac:dyDescent="0.25">
      <c r="A9" s="11" t="s">
        <v>128</v>
      </c>
      <c r="B9" s="16">
        <v>2115</v>
      </c>
      <c r="C9" s="14">
        <v>-0.1650217133833399</v>
      </c>
      <c r="D9" s="16">
        <v>2533</v>
      </c>
      <c r="E9" s="14">
        <v>-0.007445141065830721</v>
      </c>
      <c r="F9" s="16">
        <v>2552</v>
      </c>
    </row>
    <row r="10" spans="1:6" x14ac:dyDescent="0.25">
      <c r="A10" s="11" t="s">
        <v>129</v>
      </c>
      <c r="B10" s="16">
        <v>13577</v>
      </c>
      <c r="C10" s="14">
        <v>-0.012006985882695387</v>
      </c>
      <c r="D10" s="16">
        <v>13742</v>
      </c>
      <c r="E10" s="14">
        <v>0.20936372436856465</v>
      </c>
      <c r="F10" s="16">
        <v>11363</v>
      </c>
    </row>
    <row r="11" spans="1:6" x14ac:dyDescent="0.25">
      <c r="A11" s="11" t="s">
        <v>130</v>
      </c>
      <c r="B11" s="16">
        <v>638</v>
      </c>
      <c r="C11" s="14">
        <v>-0.44084136722173534</v>
      </c>
      <c r="D11" s="16">
        <v>1141</v>
      </c>
      <c r="E11" s="14">
        <v>-0.3699613473219216</v>
      </c>
      <c r="F11" s="16">
        <v>1811</v>
      </c>
    </row>
    <row r="12" spans="1:6" x14ac:dyDescent="0.25">
      <c r="A12" s="11" t="s">
        <v>131</v>
      </c>
      <c r="B12" s="16">
        <v>16363</v>
      </c>
      <c r="C12" s="14">
        <v>-0.09491675424525693</v>
      </c>
      <c r="D12" s="16">
        <v>18079</v>
      </c>
      <c r="E12" s="14">
        <v>0.1047357164680721</v>
      </c>
      <c r="F12" s="16">
        <v>16365</v>
      </c>
    </row>
    <row r="13" spans="1:6" x14ac:dyDescent="0.25">
      <c r="A13" s="11" t="s">
        <v>132</v>
      </c>
      <c r="B13" s="16">
        <v>8371</v>
      </c>
      <c r="C13" s="14">
        <v>-0.2002483997324926</v>
      </c>
      <c r="D13" s="16">
        <v>10467</v>
      </c>
      <c r="E13" s="14">
        <v>0.1570860048640283</v>
      </c>
      <c r="F13" s="16">
        <v>9046</v>
      </c>
    </row>
    <row r="14" spans="1:6" x14ac:dyDescent="0.25">
      <c r="A14" s="11" t="s">
        <v>133</v>
      </c>
      <c r="B14" s="16">
        <v>11166</v>
      </c>
      <c r="C14" s="14">
        <v>-0.05292620865139949</v>
      </c>
      <c r="D14" s="16">
        <v>11790</v>
      </c>
      <c r="E14" s="14">
        <v>0.08763837638376384</v>
      </c>
      <c r="F14" s="16">
        <v>10840</v>
      </c>
    </row>
    <row r="15" spans="1:6" x14ac:dyDescent="0.25">
      <c r="A15" s="11" t="s">
        <v>134</v>
      </c>
      <c r="B15" s="16">
        <v>894</v>
      </c>
      <c r="C15" s="14">
        <v>-0.35076252723311546</v>
      </c>
      <c r="D15" s="16">
        <v>1377</v>
      </c>
      <c r="E15" s="14">
        <v>0.1953125</v>
      </c>
      <c r="F15" s="16">
        <v>1152</v>
      </c>
    </row>
    <row r="16" spans="1:6" x14ac:dyDescent="0.25">
      <c r="A16" s="11" t="s">
        <v>135</v>
      </c>
      <c r="B16" s="16">
        <v>1513</v>
      </c>
      <c r="C16" s="14">
        <v>-0.040583386176284084</v>
      </c>
      <c r="D16" s="16">
        <v>1577</v>
      </c>
      <c r="E16" s="14">
        <v>0.14607558139534885</v>
      </c>
      <c r="F16" s="16">
        <v>1376</v>
      </c>
    </row>
    <row r="17" spans="1:6" x14ac:dyDescent="0.25">
      <c r="A17" s="11" t="s">
        <v>136</v>
      </c>
      <c r="B17" s="16">
        <v>65309</v>
      </c>
      <c r="C17" s="14">
        <v>-0.2617615807202767</v>
      </c>
      <c r="D17" s="16">
        <v>88466</v>
      </c>
      <c r="E17" s="14">
        <v>0.01355361296014115</v>
      </c>
      <c r="F17" s="16">
        <v>87283</v>
      </c>
    </row>
    <row r="18" spans="1:6" x14ac:dyDescent="0.25">
      <c r="A18" s="11" t="s">
        <v>137</v>
      </c>
      <c r="B18" s="16">
        <v>11761</v>
      </c>
      <c r="C18" s="14">
        <v>-0.14614491070132132</v>
      </c>
      <c r="D18" s="16">
        <v>13774</v>
      </c>
      <c r="E18" s="14">
        <v>-0.10395524329950559</v>
      </c>
      <c r="F18" s="16">
        <v>15372</v>
      </c>
    </row>
    <row r="19" spans="1:6" x14ac:dyDescent="0.25">
      <c r="A19" s="11" t="s">
        <v>138</v>
      </c>
      <c r="B19" s="16">
        <v>1166</v>
      </c>
      <c r="C19" s="14">
        <v>-0.03156146179401993</v>
      </c>
      <c r="D19" s="16">
        <v>1204</v>
      </c>
      <c r="E19" s="14">
        <v>-0.02113821138211382</v>
      </c>
      <c r="F19" s="16">
        <v>1230</v>
      </c>
    </row>
    <row r="20" spans="1:6" x14ac:dyDescent="0.25">
      <c r="A20" s="11" t="s">
        <v>139</v>
      </c>
      <c r="B20" s="16">
        <v>1252</v>
      </c>
      <c r="C20" s="14">
        <v>-0.062172284644194754</v>
      </c>
      <c r="D20" s="16">
        <v>1335</v>
      </c>
      <c r="E20" s="14">
        <v>0.17311072056239016</v>
      </c>
      <c r="F20" s="16">
        <v>1138</v>
      </c>
    </row>
    <row r="21" spans="1:6" x14ac:dyDescent="0.25">
      <c r="A21" s="11" t="s">
        <v>140</v>
      </c>
      <c r="B21" s="16">
        <v>4286</v>
      </c>
      <c r="C21" s="14">
        <v>-0.16728191179327764</v>
      </c>
      <c r="D21" s="16">
        <v>5147</v>
      </c>
      <c r="E21" s="14">
        <v>-0.030148859996231393</v>
      </c>
      <c r="F21" s="16">
        <v>5307</v>
      </c>
    </row>
    <row r="22" spans="1:6" x14ac:dyDescent="0.25">
      <c r="A22" s="11" t="s">
        <v>141</v>
      </c>
      <c r="B22" s="16">
        <v>670</v>
      </c>
      <c r="C22" s="14">
        <v>-0.27956989247311825</v>
      </c>
      <c r="D22" s="16">
        <v>930</v>
      </c>
      <c r="E22" s="14">
        <v>0.21887287024901703</v>
      </c>
      <c r="F22" s="16">
        <v>763</v>
      </c>
    </row>
    <row r="23" spans="1:6" x14ac:dyDescent="0.25">
      <c r="A23" s="11" t="s">
        <v>142</v>
      </c>
      <c r="B23" s="16">
        <v>5969</v>
      </c>
      <c r="C23" s="14">
        <v>-0.0352351705188298</v>
      </c>
      <c r="D23" s="16">
        <v>6187</v>
      </c>
      <c r="E23" s="14">
        <v>0.9893890675241157</v>
      </c>
      <c r="F23" s="16">
        <v>3110</v>
      </c>
    </row>
    <row r="24" spans="1:6" x14ac:dyDescent="0.25">
      <c r="A24" s="11" t="s">
        <v>143</v>
      </c>
      <c r="B24" s="16">
        <v>8108</v>
      </c>
      <c r="C24" s="14">
        <v>-0.032458233890214794</v>
      </c>
      <c r="D24" s="16">
        <v>8380</v>
      </c>
      <c r="E24" s="40"/>
      <c r="F24" s="16">
        <v>0</v>
      </c>
    </row>
    <row r="25" spans="1:6" x14ac:dyDescent="0.25">
      <c r="A25" s="11" t="s">
        <v>144</v>
      </c>
      <c r="B25" s="16">
        <v>156878</v>
      </c>
      <c r="C25" s="14">
        <v>-0.1723399316253746</v>
      </c>
      <c r="D25" s="16">
        <v>189544</v>
      </c>
      <c r="E25" s="14">
        <v>0.10043891224077471</v>
      </c>
      <c r="F25" s="16">
        <v>172244</v>
      </c>
    </row>
    <row r="27" spans="1:6" x14ac:dyDescent="0.25">
      <c r="A27" s="18" t="s">
        <v>145</v>
      </c>
      <c r="B27" s="12"/>
      <c r="C27" s="40"/>
      <c r="D27" s="12"/>
      <c r="E27" s="40"/>
      <c r="F27" s="12"/>
    </row>
    <row r="28" spans="1:6" s="32" customFormat="1" x14ac:dyDescent="0.25">
      <c r="A28" s="21" t="s">
        <v>121</v>
      </c>
      <c r="B28" s="22" t="s">
        <v>122</v>
      </c>
      <c r="C28" s="41" t="s">
        <v>111</v>
      </c>
      <c r="D28" s="22" t="s">
        <v>123</v>
      </c>
      <c r="E28" s="41" t="s">
        <v>111</v>
      </c>
      <c r="F28" s="22" t="s">
        <v>124</v>
      </c>
    </row>
    <row r="29" spans="1:6" x14ac:dyDescent="0.25">
      <c r="A29" s="11" t="s">
        <v>146</v>
      </c>
      <c r="B29" s="16">
        <v>1993</v>
      </c>
      <c r="C29" s="40"/>
      <c r="D29" s="16">
        <v>0</v>
      </c>
      <c r="E29" s="40"/>
      <c r="F29" s="16">
        <v>0</v>
      </c>
    </row>
    <row r="30" spans="1:6" x14ac:dyDescent="0.25">
      <c r="A30" s="11" t="s">
        <v>147</v>
      </c>
      <c r="B30" s="16">
        <v>59010</v>
      </c>
      <c r="C30" s="40"/>
      <c r="D30" s="16">
        <v>0</v>
      </c>
      <c r="E30" s="40"/>
      <c r="F30" s="16">
        <v>0</v>
      </c>
    </row>
    <row r="31" spans="1:6" x14ac:dyDescent="0.25">
      <c r="A31" s="11" t="s">
        <v>148</v>
      </c>
      <c r="B31" s="16">
        <v>1040</v>
      </c>
      <c r="C31" s="40"/>
      <c r="D31" s="16">
        <v>0</v>
      </c>
      <c r="E31" s="40"/>
      <c r="F31" s="16">
        <v>0</v>
      </c>
    </row>
    <row r="32" spans="1:6" x14ac:dyDescent="0.25">
      <c r="A32" s="11" t="s">
        <v>149</v>
      </c>
      <c r="B32" s="16">
        <v>10097</v>
      </c>
      <c r="C32" s="40"/>
      <c r="D32" s="16">
        <v>0</v>
      </c>
      <c r="E32" s="40"/>
      <c r="F32" s="16">
        <v>0</v>
      </c>
    </row>
    <row r="33" spans="1:6" x14ac:dyDescent="0.25">
      <c r="A33" s="11" t="s">
        <v>136</v>
      </c>
      <c r="B33" s="16">
        <v>63450</v>
      </c>
      <c r="C33" s="40"/>
      <c r="D33" s="16">
        <v>0</v>
      </c>
      <c r="E33" s="40"/>
      <c r="F33" s="16">
        <v>0</v>
      </c>
    </row>
    <row r="34" spans="1:6" x14ac:dyDescent="0.25">
      <c r="A34" s="11" t="s">
        <v>150</v>
      </c>
      <c r="B34" s="16">
        <v>6151</v>
      </c>
      <c r="C34" s="40"/>
      <c r="D34" s="16">
        <v>0</v>
      </c>
      <c r="E34" s="40"/>
      <c r="F34" s="16">
        <v>0</v>
      </c>
    </row>
    <row r="35" spans="1:6" x14ac:dyDescent="0.25">
      <c r="A35" s="11" t="s">
        <v>151</v>
      </c>
      <c r="B35" s="16">
        <v>15863</v>
      </c>
      <c r="C35" s="40"/>
      <c r="D35" s="16">
        <v>0</v>
      </c>
      <c r="E35" s="40"/>
      <c r="F35" s="16">
        <v>0</v>
      </c>
    </row>
    <row r="36" spans="1:6" x14ac:dyDescent="0.25">
      <c r="A36" s="11" t="s">
        <v>152</v>
      </c>
      <c r="B36" s="16">
        <v>-726</v>
      </c>
      <c r="C36" s="40"/>
      <c r="D36" s="16">
        <v>0</v>
      </c>
      <c r="E36" s="40"/>
      <c r="F36" s="16">
        <v>0</v>
      </c>
    </row>
    <row r="37" spans="1:6" x14ac:dyDescent="0.25">
      <c r="A37" s="11" t="s">
        <v>144</v>
      </c>
      <c r="B37" s="16">
        <v>156878</v>
      </c>
      <c r="C37" s="40"/>
      <c r="D37" s="16">
        <v>0</v>
      </c>
      <c r="E37" s="40"/>
      <c r="F37" s="16">
        <v>0</v>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153</v>
      </c>
      <c r="B1" s="10"/>
      <c r="C1" s="10"/>
      <c r="D1" s="10"/>
      <c r="E1" s="10"/>
      <c r="F1" s="10"/>
    </row>
    <row r="2" spans="1:6" x14ac:dyDescent="0.25">
      <c r="A2" s="11" t="s">
        <v>10</v>
      </c>
      <c r="B2" s="12"/>
      <c r="C2" s="12"/>
      <c r="D2" s="12"/>
      <c r="E2" s="12"/>
      <c r="F2" s="12"/>
    </row>
    <row r="4" spans="1:6" s="32" customFormat="1" x14ac:dyDescent="0.25">
      <c r="A4" s="42" t="s">
        <v>154</v>
      </c>
      <c r="B4" s="36" t="s">
        <v>155</v>
      </c>
      <c r="C4" s="36" t="s">
        <v>156</v>
      </c>
      <c r="D4" s="36"/>
      <c r="E4" s="36"/>
      <c r="F4" s="36"/>
    </row>
    <row r="5" spans="1:6" x14ac:dyDescent="0.25">
      <c r="A5" s="11" t="s">
        <v>157</v>
      </c>
      <c r="B5" s="12" t="s">
        <v>158</v>
      </c>
      <c r="C5" s="12" t="s">
        <v>159</v>
      </c>
      <c r="D5" s="12"/>
      <c r="E5" s="12"/>
      <c r="F5" s="12"/>
    </row>
    <row r="6" spans="1:6" x14ac:dyDescent="0.25">
      <c r="A6" s="11" t="s">
        <v>160</v>
      </c>
      <c r="B6" s="12" t="s">
        <v>161</v>
      </c>
      <c r="C6" s="12" t="s">
        <v>159</v>
      </c>
      <c r="D6" s="12"/>
      <c r="E6" s="12"/>
      <c r="F6" s="12"/>
    </row>
    <row r="7" spans="1:6" x14ac:dyDescent="0.25">
      <c r="A7" s="11" t="s">
        <v>162</v>
      </c>
      <c r="B7" s="12" t="s">
        <v>163</v>
      </c>
      <c r="C7" s="12" t="s">
        <v>159</v>
      </c>
      <c r="D7" s="12"/>
      <c r="E7" s="12"/>
      <c r="F7" s="12"/>
    </row>
    <row r="9" spans="1:6" s="43" customFormat="1" x14ac:dyDescent="0.25">
      <c r="A9" s="44" t="s">
        <v>164</v>
      </c>
      <c r="B9" s="44"/>
      <c r="C9" s="44"/>
      <c r="D9" s="44"/>
      <c r="E9" s="44"/>
      <c r="F9" s="44"/>
    </row>
    <row r="10" spans="1:6" s="32" customFormat="1" x14ac:dyDescent="0.25">
      <c r="A10" s="42" t="s">
        <v>165</v>
      </c>
      <c r="B10" s="36" t="s">
        <v>166</v>
      </c>
      <c r="C10" s="36" t="s">
        <v>167</v>
      </c>
      <c r="D10" s="36" t="s">
        <v>168</v>
      </c>
      <c r="E10" s="36" t="s">
        <v>169</v>
      </c>
      <c r="F10" s="36" t="s">
        <v>170</v>
      </c>
    </row>
    <row r="11" spans="1:6" x14ac:dyDescent="0.25">
      <c r="A11" s="11" t="s">
        <v>157</v>
      </c>
      <c r="B11" s="45">
        <v>10.8614045058175</v>
      </c>
      <c r="C11" s="45">
        <v>21.722809011635</v>
      </c>
      <c r="D11" s="45">
        <v>43.44561802326999</v>
      </c>
      <c r="E11" s="45">
        <v>146.6289608285362</v>
      </c>
      <c r="F11" s="45">
        <v>342.1342419332512</v>
      </c>
    </row>
    <row r="12" spans="1:6" x14ac:dyDescent="0.25">
      <c r="A12" s="11" t="s">
        <v>160</v>
      </c>
      <c r="B12" s="46">
        <v>8.833457226788891</v>
      </c>
      <c r="C12" s="45">
        <v>14.80200940705165</v>
      </c>
      <c r="D12" s="45">
        <v>25.06791915710361</v>
      </c>
      <c r="E12" s="45">
        <v>64.69910563404837</v>
      </c>
      <c r="F12" s="45">
        <v>107.1951971575192</v>
      </c>
    </row>
    <row r="13" spans="1:6" x14ac:dyDescent="0.25">
      <c r="A13" s="11" t="s">
        <v>162</v>
      </c>
      <c r="B13" s="45">
        <v>14.47234828468619</v>
      </c>
      <c r="C13" s="45">
        <v>25.32660949820082</v>
      </c>
      <c r="D13" s="45">
        <v>39.79895778288702</v>
      </c>
      <c r="E13" s="45">
        <v>202.6128759856066</v>
      </c>
      <c r="F13" s="45">
        <v>325.6278364054392</v>
      </c>
    </row>
  </sheetData>
  <mergeCells count="1">
    <mergeCell ref="A9:F9"/>
  </mergeCells>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171</v>
      </c>
      <c r="B1" s="10"/>
      <c r="C1" s="10"/>
      <c r="D1" s="10"/>
      <c r="E1" s="10"/>
    </row>
    <row r="2" spans="1:5" x14ac:dyDescent="0.25">
      <c r="A2" s="11" t="s">
        <v>10</v>
      </c>
      <c r="B2" s="12"/>
      <c r="C2" s="12"/>
      <c r="D2" s="12"/>
      <c r="E2" s="12"/>
    </row>
    <row r="4" spans="1:5" s="17" customFormat="1" x14ac:dyDescent="0.25">
      <c r="A4" s="18" t="s">
        <v>172</v>
      </c>
      <c r="B4" s="31"/>
      <c r="C4" s="31"/>
      <c r="D4" s="31"/>
      <c r="E4" s="31"/>
    </row>
    <row r="5" spans="1:5" x14ac:dyDescent="0.25">
      <c r="A5" s="11" t="s">
        <v>173</v>
      </c>
      <c r="B5" s="19">
        <v>0.027573</v>
      </c>
      <c r="C5" s="12"/>
      <c r="D5" s="12"/>
      <c r="E5" s="12"/>
    </row>
    <row r="6" spans="1:5" x14ac:dyDescent="0.25">
      <c r="A6" s="11" t="s">
        <v>174</v>
      </c>
      <c r="B6" s="12" t="s">
        <v>175</v>
      </c>
      <c r="C6" s="12"/>
      <c r="D6" s="12"/>
      <c r="E6" s="12"/>
    </row>
    <row r="7" spans="1:5" x14ac:dyDescent="0.25">
      <c r="A7" s="11" t="s">
        <v>176</v>
      </c>
      <c r="B7" s="19">
        <v>0</v>
      </c>
      <c r="C7" s="12"/>
      <c r="D7" s="12"/>
      <c r="E7" s="12"/>
    </row>
    <row r="8" spans="1:5" x14ac:dyDescent="0.25">
      <c r="A8" s="11" t="s">
        <v>177</v>
      </c>
      <c r="B8" s="25">
        <f>=INDEX(B:B,MATCH("Ten-year bond yield",A:A,0))-INDEX(B:B,MATCH("Default spread",A:A,0))</f>
      </c>
      <c r="C8" s="12"/>
      <c r="D8" s="12"/>
      <c r="E8" s="12"/>
    </row>
    <row r="10" spans="1:5" s="17" customFormat="1" x14ac:dyDescent="0.25">
      <c r="A10" s="18" t="s">
        <v>178</v>
      </c>
      <c r="B10" s="31"/>
      <c r="C10" s="31"/>
      <c r="D10" s="31"/>
      <c r="E10" s="31"/>
    </row>
    <row r="11" spans="1:5" s="32" customFormat="1" x14ac:dyDescent="0.25">
      <c r="A11" s="21" t="s">
        <v>121</v>
      </c>
      <c r="B11" s="22" t="s">
        <v>179</v>
      </c>
      <c r="C11" s="22" t="s">
        <v>180</v>
      </c>
      <c r="D11" s="22" t="s">
        <v>181</v>
      </c>
      <c r="E11" s="22" t="s">
        <v>182</v>
      </c>
    </row>
    <row r="12" spans="1:5" x14ac:dyDescent="0.25">
      <c r="A12" s="11" t="s">
        <v>150</v>
      </c>
      <c r="B12" s="20">
        <v>6151</v>
      </c>
      <c r="C12" s="20">
        <v>0.99</v>
      </c>
      <c r="D12" s="25">
        <f>(B12*C12)/SUMPRODUCT(B12:B18,C12:C18)</f>
      </c>
      <c r="E12" s="20">
        <v>1.13</v>
      </c>
    </row>
    <row r="13" spans="1:5" x14ac:dyDescent="0.25">
      <c r="A13" s="11" t="s">
        <v>148</v>
      </c>
      <c r="B13" s="20">
        <v>1040</v>
      </c>
      <c r="C13" s="20">
        <v>0.99</v>
      </c>
      <c r="D13" s="25">
        <f>(B13*C13)/SUMPRODUCT(B12:B18,C12:C18)</f>
      </c>
      <c r="E13" s="20">
        <v>2.17</v>
      </c>
    </row>
    <row r="14" spans="1:5" x14ac:dyDescent="0.25">
      <c r="A14" s="11" t="s">
        <v>146</v>
      </c>
      <c r="B14" s="20">
        <v>1993</v>
      </c>
      <c r="C14" s="20">
        <v>0.99</v>
      </c>
      <c r="D14" s="25">
        <f>(B14*C14)/SUMPRODUCT(B12:B18,C12:C18)</f>
      </c>
      <c r="E14" s="20">
        <v>1.77</v>
      </c>
    </row>
    <row r="15" spans="1:5" x14ac:dyDescent="0.25">
      <c r="A15" s="11" t="s">
        <v>151</v>
      </c>
      <c r="B15" s="20">
        <v>15863</v>
      </c>
      <c r="C15" s="20">
        <v>0.99</v>
      </c>
      <c r="D15" s="25">
        <f>(B15*C15)/SUMPRODUCT(B12:B18,C12:C18)</f>
      </c>
      <c r="E15" s="20">
        <v>1.36</v>
      </c>
    </row>
    <row r="16" spans="1:5" x14ac:dyDescent="0.25">
      <c r="A16" s="11" t="s">
        <v>149</v>
      </c>
      <c r="B16" s="20">
        <v>10097</v>
      </c>
      <c r="C16" s="20">
        <v>0.99</v>
      </c>
      <c r="D16" s="25">
        <f>(B16*C16)/SUMPRODUCT(B12:B18,C12:C18)</f>
      </c>
      <c r="E16" s="20">
        <v>1.36</v>
      </c>
    </row>
    <row r="17" spans="1:5" x14ac:dyDescent="0.25">
      <c r="A17" s="11" t="s">
        <v>147</v>
      </c>
      <c r="B17" s="20">
        <v>59010</v>
      </c>
      <c r="C17" s="20">
        <v>0.99</v>
      </c>
      <c r="D17" s="25">
        <f>(B17*C17)/SUMPRODUCT(B12:B18,C12:C18)</f>
      </c>
      <c r="E17" s="20">
        <v>1.13</v>
      </c>
    </row>
    <row r="18" spans="1:5" x14ac:dyDescent="0.25">
      <c r="A18" s="11" t="s">
        <v>136</v>
      </c>
      <c r="B18" s="20">
        <v>63450</v>
      </c>
      <c r="C18" s="20">
        <v>0.99</v>
      </c>
      <c r="D18" s="25">
        <f>(B18*C18)/SUMPRODUCT(B12:B18,C12:C18)</f>
      </c>
      <c r="E18" s="20">
        <v>1.36</v>
      </c>
    </row>
    <row r="20" spans="1:5" x14ac:dyDescent="0.25">
      <c r="A20" s="11" t="s">
        <v>182</v>
      </c>
      <c r="B20" s="47">
        <f>=SUMPRODUCT(INDEX(D:D,MATCH("Segment",A:A,0)+1):INDEX(D:D,MATCH(TRUE,INDEX((INDEX(A:A,MATCH("Segment",A:A,0)+1):A1048576)="",0),0)+MATCH("Segment",A:A,0)+1-1),INDEX(E:E,MATCH("Segment",A:A,0)+1):INDEX(E:E,MATCH(TRUE,INDEX((INDEX(A:A,MATCH("Segment",A:A,0)+1):A1048576)="",0),0)+MATCH("Segment",A:A,0)+1-1))</f>
      </c>
      <c r="C20" s="12"/>
      <c r="D20" s="12"/>
      <c r="E20" s="12"/>
    </row>
    <row r="21" spans="1:5" x14ac:dyDescent="0.25">
      <c r="A21" s="11" t="s">
        <v>183</v>
      </c>
      <c r="B21" s="19">
        <v>1.940215537107852</v>
      </c>
      <c r="C21" s="12"/>
      <c r="D21" s="12"/>
      <c r="E21" s="12"/>
    </row>
    <row r="22" spans="1:5" x14ac:dyDescent="0.25">
      <c r="A22" s="11" t="s">
        <v>184</v>
      </c>
      <c r="B22" s="19">
        <v>0.6573363238793973</v>
      </c>
      <c r="C22" s="12"/>
      <c r="D22" s="12"/>
      <c r="E22" s="12"/>
    </row>
    <row r="23" spans="1:5" x14ac:dyDescent="0.25">
      <c r="A23" s="11" t="s">
        <v>185</v>
      </c>
      <c r="B23" s="19">
        <v>0.246267894159793</v>
      </c>
      <c r="C23" s="12"/>
      <c r="D23" s="12"/>
      <c r="E23" s="12"/>
    </row>
    <row r="24" spans="1:5" x14ac:dyDescent="0.25">
      <c r="A24" s="11" t="s">
        <v>186</v>
      </c>
      <c r="B24" s="47">
        <f>=INDEX(B:B,MATCH("Business beta",A:A,0))*(1+(1-INDEX(B:B,MATCH("Marginal tax rate",A:A,0)))*INDEX(B:B,MATCH("Debt-to-equity ratio",A:A,0)))*(1-INDEX(B:B,MATCH("Cash-to-firm ratio",A:A,0)))</f>
      </c>
      <c r="C24" s="12"/>
      <c r="D24" s="12"/>
      <c r="E24" s="12"/>
    </row>
    <row r="26" spans="1:5" s="17" customFormat="1" x14ac:dyDescent="0.25">
      <c r="A26" s="18" t="s">
        <v>187</v>
      </c>
      <c r="B26" s="31"/>
      <c r="C26" s="31"/>
      <c r="D26" s="31"/>
      <c r="E26" s="31"/>
    </row>
    <row r="27" spans="1:5" x14ac:dyDescent="0.25">
      <c r="A27" s="11" t="s">
        <v>188</v>
      </c>
      <c r="B27" s="12" t="s">
        <v>189</v>
      </c>
      <c r="C27" s="12"/>
      <c r="D27" s="12"/>
      <c r="E27" s="12"/>
    </row>
    <row r="28" spans="1:5" x14ac:dyDescent="0.25">
      <c r="A28" s="11" t="s">
        <v>190</v>
      </c>
      <c r="B28" s="12" t="s">
        <v>191</v>
      </c>
      <c r="C28" s="12"/>
      <c r="D28" s="12"/>
      <c r="E28" s="12"/>
    </row>
    <row r="29" spans="1:5" x14ac:dyDescent="0.25">
      <c r="A29" s="11" t="s">
        <v>192</v>
      </c>
      <c r="B29" s="12" t="s">
        <v>193</v>
      </c>
      <c r="C29" s="12"/>
      <c r="D29" s="12"/>
      <c r="E29" s="12"/>
    </row>
    <row r="30" spans="1:5" x14ac:dyDescent="0.25">
      <c r="A30" s="11" t="s">
        <v>194</v>
      </c>
      <c r="B30" s="12" t="s">
        <v>195</v>
      </c>
      <c r="C30" s="12"/>
      <c r="D30" s="12"/>
      <c r="E30" s="12"/>
    </row>
    <row r="31" spans="1:5" x14ac:dyDescent="0.25">
      <c r="A31" s="11" t="s">
        <v>194</v>
      </c>
      <c r="B31" s="12" t="s">
        <v>196</v>
      </c>
      <c r="C31" s="12"/>
      <c r="D31" s="12"/>
      <c r="E31" s="12"/>
    </row>
    <row r="32" spans="1:5" x14ac:dyDescent="0.25">
      <c r="A32" s="11" t="s">
        <v>188</v>
      </c>
      <c r="B32" s="12" t="s">
        <v>197</v>
      </c>
      <c r="C32" s="12"/>
      <c r="D32" s="12"/>
      <c r="E32" s="12"/>
    </row>
    <row r="33" spans="1:5" x14ac:dyDescent="0.25">
      <c r="A33" s="11" t="s">
        <v>194</v>
      </c>
      <c r="B33" s="12" t="s">
        <v>198</v>
      </c>
      <c r="C33" s="12"/>
      <c r="D33" s="12"/>
      <c r="E33" s="12"/>
    </row>
    <row r="35" spans="1:5" s="17" customFormat="1" x14ac:dyDescent="0.25">
      <c r="A35" s="18" t="s">
        <v>199</v>
      </c>
      <c r="B35" s="31"/>
      <c r="C35" s="31"/>
      <c r="D35" s="31"/>
      <c r="E35" s="31"/>
    </row>
    <row r="36" spans="1:5" s="32" customFormat="1" x14ac:dyDescent="0.25">
      <c r="A36" s="21" t="s">
        <v>200</v>
      </c>
      <c r="B36" s="22" t="s">
        <v>179</v>
      </c>
      <c r="C36" s="22" t="s">
        <v>181</v>
      </c>
      <c r="D36" s="22" t="s">
        <v>201</v>
      </c>
      <c r="E36" s="22" t="s">
        <v>202</v>
      </c>
    </row>
    <row r="37" spans="1:5" x14ac:dyDescent="0.25">
      <c r="A37" s="11" t="s">
        <v>203</v>
      </c>
      <c r="B37" s="20">
        <v>670</v>
      </c>
      <c r="C37" s="25">
        <f>B37/SUM(B37:B55)</f>
      </c>
      <c r="D37" s="19">
        <v>0.04</v>
      </c>
      <c r="E37" s="19">
        <v>0.146</v>
      </c>
    </row>
    <row r="38" spans="1:5" x14ac:dyDescent="0.25">
      <c r="A38" s="11" t="s">
        <v>204</v>
      </c>
      <c r="B38" s="20">
        <v>4286</v>
      </c>
      <c r="C38" s="25">
        <f>B38/SUM(B37:B55)</f>
      </c>
      <c r="D38" s="19">
        <v>0.06150000000000001</v>
      </c>
      <c r="E38" s="19">
        <v>0.25</v>
      </c>
    </row>
    <row r="39" spans="1:5" x14ac:dyDescent="0.25">
      <c r="A39" s="11" t="s">
        <v>205</v>
      </c>
      <c r="B39" s="20">
        <v>1252</v>
      </c>
      <c r="C39" s="25">
        <f>B39/SUM(B37:B55)</f>
      </c>
      <c r="D39" s="19">
        <v>0.06150000000000001</v>
      </c>
      <c r="E39" s="19">
        <v>0.21</v>
      </c>
    </row>
    <row r="40" spans="1:5" x14ac:dyDescent="0.25">
      <c r="A40" s="11" t="s">
        <v>206</v>
      </c>
      <c r="B40" s="20">
        <v>1166</v>
      </c>
      <c r="C40" s="25">
        <f>B40/SUM(B37:B55)</f>
      </c>
      <c r="D40" s="19">
        <v>0.0551</v>
      </c>
      <c r="E40" s="19">
        <v>0.19</v>
      </c>
    </row>
    <row r="41" spans="1:5" x14ac:dyDescent="0.25">
      <c r="A41" s="11" t="s">
        <v>175</v>
      </c>
      <c r="B41" s="20">
        <v>8371</v>
      </c>
      <c r="C41" s="25">
        <f>B41/SUM(B37:B55)</f>
      </c>
      <c r="D41" s="19">
        <v>0.04</v>
      </c>
      <c r="E41" s="19">
        <v>0.3</v>
      </c>
    </row>
    <row r="42" spans="1:5" x14ac:dyDescent="0.25">
      <c r="A42" s="11" t="s">
        <v>207</v>
      </c>
      <c r="B42" s="20">
        <v>16363</v>
      </c>
      <c r="C42" s="25">
        <f>B42/SUM(B37:B55)</f>
      </c>
      <c r="D42" s="19">
        <v>0.0507</v>
      </c>
      <c r="E42" s="19">
        <v>0.25</v>
      </c>
    </row>
    <row r="43" spans="1:5" x14ac:dyDescent="0.25">
      <c r="A43" s="11" t="s">
        <v>208</v>
      </c>
      <c r="B43" s="20">
        <v>13577</v>
      </c>
      <c r="C43" s="25">
        <f>B43/SUM(B37:B55)</f>
      </c>
      <c r="D43" s="19">
        <v>0.0848</v>
      </c>
      <c r="E43" s="19">
        <v>0.34</v>
      </c>
    </row>
    <row r="44" spans="1:5" x14ac:dyDescent="0.25">
      <c r="A44" s="11" t="s">
        <v>209</v>
      </c>
      <c r="B44" s="20">
        <v>1062</v>
      </c>
      <c r="C44" s="25">
        <f>B44/SUM(B37:B55)</f>
      </c>
      <c r="D44" s="19">
        <v>0.0453</v>
      </c>
      <c r="E44" s="19">
        <v>0.23</v>
      </c>
    </row>
    <row r="45" spans="1:5" x14ac:dyDescent="0.25">
      <c r="A45" s="11" t="s">
        <v>210</v>
      </c>
      <c r="B45" s="20">
        <v>1413</v>
      </c>
      <c r="C45" s="25">
        <f>B45/SUM(B37:B55)</f>
      </c>
      <c r="D45" s="19">
        <v>0.1745</v>
      </c>
      <c r="E45" s="19">
        <v>0.35</v>
      </c>
    </row>
    <row r="46" spans="1:5" x14ac:dyDescent="0.25">
      <c r="A46" s="11" t="s">
        <v>211</v>
      </c>
      <c r="B46" s="20">
        <v>1245</v>
      </c>
      <c r="C46" s="25">
        <f>B46/SUM(B37:B55)</f>
      </c>
      <c r="D46" s="19">
        <v>0.1044</v>
      </c>
      <c r="E46" s="19">
        <v>0.26</v>
      </c>
    </row>
    <row r="47" spans="1:5" x14ac:dyDescent="0.25">
      <c r="A47" s="11" t="s">
        <v>212</v>
      </c>
      <c r="B47" s="20">
        <v>5969</v>
      </c>
      <c r="C47" s="25">
        <f>B47/SUM(B37:B55)</f>
      </c>
      <c r="D47" s="19">
        <v>0.1044</v>
      </c>
      <c r="E47" s="19">
        <v>0.25</v>
      </c>
    </row>
    <row r="48" spans="1:5" x14ac:dyDescent="0.25">
      <c r="A48" s="11" t="s">
        <v>213</v>
      </c>
      <c r="B48" s="20">
        <v>11761</v>
      </c>
      <c r="C48" s="25">
        <f>B48/SUM(B37:B55)</f>
      </c>
      <c r="D48" s="19">
        <v>0.06269999999999999</v>
      </c>
      <c r="E48" s="19">
        <v>0.2436</v>
      </c>
    </row>
    <row r="49" spans="1:5" x14ac:dyDescent="0.25">
      <c r="A49" s="11" t="s">
        <v>143</v>
      </c>
      <c r="B49" s="20">
        <v>8108</v>
      </c>
      <c r="C49" s="25">
        <f>B49/SUM(B37:B55)</f>
      </c>
      <c r="D49" s="19">
        <v>0.0507</v>
      </c>
      <c r="E49" s="19">
        <v>0.25</v>
      </c>
    </row>
    <row r="50" spans="1:5" x14ac:dyDescent="0.25">
      <c r="A50" s="11" t="s">
        <v>136</v>
      </c>
      <c r="B50" s="20">
        <v>65309</v>
      </c>
      <c r="C50" s="25">
        <f>B50/SUM(B37:B55)</f>
      </c>
      <c r="D50" s="19">
        <v>0.0466</v>
      </c>
      <c r="E50" s="19">
        <v>0.2187</v>
      </c>
    </row>
    <row r="51" spans="1:5" x14ac:dyDescent="0.25">
      <c r="A51" s="11" t="s">
        <v>214</v>
      </c>
      <c r="B51" s="20">
        <v>1513</v>
      </c>
      <c r="C51" s="25">
        <f>B51/SUM(B37:B55)</f>
      </c>
      <c r="D51" s="19">
        <v>0.04</v>
      </c>
      <c r="E51" s="19">
        <v>0.258</v>
      </c>
    </row>
    <row r="52" spans="1:5" x14ac:dyDescent="0.25">
      <c r="A52" s="11" t="s">
        <v>215</v>
      </c>
      <c r="B52" s="20">
        <v>894</v>
      </c>
      <c r="C52" s="25">
        <f>B52/SUM(B37:B55)</f>
      </c>
      <c r="D52" s="19">
        <v>0.0526</v>
      </c>
      <c r="E52" s="19">
        <v>0.3062</v>
      </c>
    </row>
    <row r="53" spans="1:5" x14ac:dyDescent="0.25">
      <c r="A53" s="11" t="s">
        <v>216</v>
      </c>
      <c r="B53" s="20">
        <v>11166</v>
      </c>
      <c r="C53" s="25">
        <f>B53/SUM(B37:B55)</f>
      </c>
      <c r="D53" s="19">
        <v>0.0742</v>
      </c>
      <c r="E53" s="19">
        <v>0.24</v>
      </c>
    </row>
    <row r="54" spans="1:5" x14ac:dyDescent="0.25">
      <c r="A54" s="11" t="s">
        <v>217</v>
      </c>
      <c r="B54" s="20">
        <v>638</v>
      </c>
      <c r="C54" s="25">
        <f>B54/SUM(B37:B55)</f>
      </c>
      <c r="D54" s="19">
        <v>0.0526</v>
      </c>
      <c r="E54" s="19">
        <v>0.25</v>
      </c>
    </row>
    <row r="55" spans="1:5" x14ac:dyDescent="0.25">
      <c r="A55" s="11" t="s">
        <v>218</v>
      </c>
      <c r="B55" s="20">
        <v>2115</v>
      </c>
      <c r="C55" s="25">
        <f>B55/SUM(B37:B55)</f>
      </c>
      <c r="D55" s="19">
        <v>0.0507</v>
      </c>
      <c r="E55" s="19">
        <v>0.25</v>
      </c>
    </row>
    <row r="57" spans="1:5" x14ac:dyDescent="0.25">
      <c r="A57" s="11" t="s">
        <v>219</v>
      </c>
      <c r="B57" s="25">
        <f>=SUMPRODUCT(INDEX(C:C,MATCH("Country",A:A,0)+1):INDEX(C:C,MATCH(TRUE,INDEX((INDEX(A:A,MATCH("Country",A:A,0)+1):A1048576)="",0),0)+MATCH("Country",A:A,0)+1-1),INDEX(D:D,MATCH("Country",A:A,0)+1):INDEX(D:D,MATCH(TRUE,INDEX((INDEX(A:A,MATCH("Country",A:A,0)+1):A1048576)="",0),0)+MATCH("Country",A:A,0)+1-1))</f>
      </c>
      <c r="C57" s="12"/>
      <c r="D57" s="12"/>
      <c r="E57" s="12"/>
    </row>
    <row r="59" spans="1:5" s="17" customFormat="1" x14ac:dyDescent="0.25">
      <c r="A59" s="18" t="s">
        <v>220</v>
      </c>
      <c r="B59" s="31"/>
      <c r="C59" s="31"/>
      <c r="D59" s="31"/>
      <c r="E59" s="31"/>
    </row>
    <row r="60" spans="1:5" x14ac:dyDescent="0.25">
      <c r="A60" s="11" t="s">
        <v>177</v>
      </c>
      <c r="B60" s="25">
        <f>=INDEX(B:B,MATCH("Risk-free rate",A:A,0))</f>
      </c>
      <c r="C60" s="12"/>
      <c r="D60" s="12"/>
      <c r="E60" s="12"/>
    </row>
    <row r="61" spans="1:5" x14ac:dyDescent="0.25">
      <c r="A61" s="11" t="s">
        <v>221</v>
      </c>
      <c r="B61" s="25">
        <f>=INDEX(B:B,MATCH("Equity beta",A:A,0))*INDEX(B:B,MATCH("Equity risk premium",A:A,0))</f>
      </c>
      <c r="C61" s="12"/>
      <c r="D61" s="12"/>
      <c r="E61" s="12"/>
    </row>
    <row r="62" spans="1:5" x14ac:dyDescent="0.25">
      <c r="A62" s="11" t="s">
        <v>186</v>
      </c>
      <c r="B62" s="47">
        <f>=INDEX(B:B,MATCH("Equity beta",A:A,0))</f>
      </c>
      <c r="C62" s="12"/>
      <c r="D62" s="12"/>
      <c r="E62" s="12"/>
    </row>
    <row r="63" spans="1:5" x14ac:dyDescent="0.25">
      <c r="A63" s="11" t="s">
        <v>222</v>
      </c>
      <c r="B63" s="25">
        <f>=INDEX(B:B,MATCH("Company equity risk premium",A:A,0))</f>
      </c>
      <c r="C63" s="12"/>
      <c r="D63" s="12"/>
      <c r="E63" s="12"/>
    </row>
    <row r="64" spans="1:5" x14ac:dyDescent="0.25">
      <c r="A64" s="11" t="s">
        <v>171</v>
      </c>
      <c r="B64" s="25">
        <f>=INDEX(B:B,MATCH("Risk-free rate",A:A,0))+INDEX(B:B,MATCH("Equity beta",A:A,0))*INDEX(B:B,MATCH("Equity risk premium",A:A,0))</f>
      </c>
      <c r="C64" s="12"/>
      <c r="D64" s="12"/>
      <c r="E64" s="12"/>
    </row>
    <row r="66" spans="1:5" s="17" customFormat="1" x14ac:dyDescent="0.25">
      <c r="A66" s="18" t="s">
        <v>223</v>
      </c>
      <c r="B66" s="31"/>
      <c r="C66" s="31"/>
      <c r="D66" s="31"/>
      <c r="E66" s="31"/>
    </row>
    <row r="67" spans="1:5" x14ac:dyDescent="0.25">
      <c r="A67" s="11" t="s">
        <v>177</v>
      </c>
      <c r="B67" s="25">
        <f>=INDEX(B:B,MATCH("Risk-free rate",A:A,0))</f>
      </c>
      <c r="C67" s="12"/>
      <c r="D67" s="12"/>
      <c r="E67" s="12"/>
    </row>
    <row r="68" spans="1:5" x14ac:dyDescent="0.25">
      <c r="A68" s="11" t="s">
        <v>224</v>
      </c>
      <c r="B68" s="25">
        <f>=INDEX(B:B,MATCH("Stable beta (clamped)",A:A,0))*INDEX(B:B,MATCH("Equity risk premium",A:A,0))</f>
      </c>
      <c r="C68" s="12"/>
      <c r="D68" s="12"/>
      <c r="E68" s="12"/>
    </row>
    <row r="69" spans="1:5" x14ac:dyDescent="0.25">
      <c r="A69" s="11" t="s">
        <v>225</v>
      </c>
      <c r="B69" s="47">
        <f>=MIN(MAX(INDEX(B:B,MATCH("Equity beta",A:A,0)),0.8),1.2)</f>
      </c>
      <c r="C69" s="12"/>
      <c r="D69" s="12"/>
      <c r="E69" s="12"/>
    </row>
    <row r="70" spans="1:5" x14ac:dyDescent="0.25">
      <c r="A70" s="11" t="s">
        <v>222</v>
      </c>
      <c r="B70" s="25">
        <f>=INDEX(B:B,MATCH("Company equity risk premium",A:A,0))</f>
      </c>
      <c r="C70" s="12"/>
      <c r="D70" s="12"/>
      <c r="E70" s="12"/>
    </row>
    <row r="71" spans="1:5" x14ac:dyDescent="0.25">
      <c r="A71" s="11" t="s">
        <v>226</v>
      </c>
      <c r="B71" s="25">
        <f>=INDEX(B:B,MATCH("Risk-free rate",A:A,0))+INDEX(B:B,MATCH("Stable beta (clamped)",A:A,0))*INDEX(B:B,MATCH("Equity risk premium",A:A,0))</f>
      </c>
      <c r="C71" s="12"/>
      <c r="D71" s="12"/>
      <c r="E71" s="12"/>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2026-02-23T00:27:20Z</dcterms:created>
  <dcterms:modified xsi:type="dcterms:W3CDTF">2026-02-23T00:27:20Z</dcterms:modified>
</cp:coreProperties>
</file>