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Cover" state="visible" r:id="rId4"/>
    <sheet sheetId="2" name="Summary" state="visible" r:id="rId5"/>
    <sheet sheetId="3" name="Assumptions" state="visible" r:id="rId6"/>
    <sheet sheetId="4" name="DCF model" state="visible" r:id="rId7"/>
    <sheet sheetId="5" name="Other claims" state="visible" r:id="rId8"/>
    <sheet sheetId="6" name="Financials" state="visible" r:id="rId9"/>
    <sheet sheetId="7" name="Segments" state="visible" r:id="rId10"/>
    <sheet sheetId="8" name="Multiples" state="visible" r:id="rId11"/>
    <sheet sheetId="9" name="Cost of equity" state="visible" r:id="rId12"/>
    <sheet sheetId="10" name="Scenarios" state="visible" r:id="rId13"/>
    <sheet sheetId="11" name="Sensitivity" state="visible" r:id="rId14"/>
    <sheet sheetId="12" name="Reverse DCF" state="visible" r:id="rId15"/>
  </sheets>
  <calcPr calcId="171027"/>
</workbook>
</file>

<file path=xl/sharedStrings.xml><?xml version="1.0" encoding="utf-8"?>
<sst xmlns="http://schemas.openxmlformats.org/spreadsheetml/2006/main" count="331" uniqueCount="247">
  <si>
    <t>ValuationBot.ai</t>
  </si>
  <si>
    <t>Eli Lilly and Company (LLY)</t>
  </si>
  <si>
    <t>Analysis ID: 16cb845a-221d-44c1-b269-3828c0b7c9fa</t>
  </si>
  <si>
    <t>Created: Feb 02, 2026 07:41am</t>
  </si>
  <si>
    <t>User: Edmund Simms</t>
  </si>
  <si>
    <t>Email: edmund.simms@gmail.com</t>
  </si>
  <si>
    <t>View this analysis online</t>
  </si>
  <si>
    <t>© 2025–2026 Lyceum Analytics Ltd. ValuationBot is a trading name of Lyceum Analytics Ltd.</t>
  </si>
  <si>
    <t>Not financial advice. Use at your own risk.</t>
  </si>
  <si>
    <t>Summary</t>
  </si>
  <si>
    <t>(all financial data in US$ millions unless stated otherwise)</t>
  </si>
  <si>
    <t>Company</t>
  </si>
  <si>
    <t>Eli Lilly and Company</t>
  </si>
  <si>
    <t>Ticker</t>
  </si>
  <si>
    <t>LLY</t>
  </si>
  <si>
    <t>Created</t>
  </si>
  <si>
    <t>Feb 02, 2026 07:41am</t>
  </si>
  <si>
    <t>Current price</t>
  </si>
  <si>
    <t>Estimated value</t>
  </si>
  <si>
    <t>Upside</t>
  </si>
  <si>
    <t>Expected IRR</t>
  </si>
  <si>
    <t>Currency</t>
  </si>
  <si>
    <t>USD</t>
  </si>
  <si>
    <t>Valuation date</t>
  </si>
  <si>
    <t>Latest financials date</t>
  </si>
  <si>
    <t>Latest filing</t>
  </si>
  <si>
    <t>10-Q Oct 30, 2025</t>
  </si>
  <si>
    <t>Industry</t>
  </si>
  <si>
    <t>Drug Manufacturers - General</t>
  </si>
  <si>
    <t>Sector</t>
  </si>
  <si>
    <t>Healthcare</t>
  </si>
  <si>
    <t>Recommendation</t>
  </si>
  <si>
    <t>Strong Sell</t>
  </si>
  <si>
    <t>Exchange</t>
  </si>
  <si>
    <t>NYSE</t>
  </si>
  <si>
    <t>Market cap</t>
  </si>
  <si>
    <t>Share count</t>
  </si>
  <si>
    <t>Assumptions</t>
  </si>
  <si>
    <t>Valuation story</t>
  </si>
  <si>
    <t>Lilly sits in a late growth phase, driven by strong demand for its GLP-1 obesity and diabetes medicines and supported by a broader cardiometabolic and oncology portfolio. I expect rapid revenue growth to continue for several years as Lilly expands manufacturing capacity and widens access, but growth slows as supply catches up, competitors launch alternatives, and payers push back on price. I expect margins to stay strong yet ease from peak levels because Lilly keeps investing heavily in research and development and spends to defend and expand franchises. I treat the outcome as probable because it matches recent momentum, planned capacity expansion, and the typical pharma pattern of high returns that normalise over time.</t>
  </si>
  <si>
    <t>Revenue growth rate</t>
  </si>
  <si>
    <t>I treat Lilly as a late growth pharma, with an unusual demand tailwind from GLP-1 obesity and diabetes drugs plus a broad cardiometabolic portfolio. Analysts’ revenue path rises from about $45B to about $91B over the medium term, which implies a high-teens annual growth profile early on. I set this rate to match that trajectory while allowing for normalised growth later as capacity, pricing pressure, and competition start to bite.</t>
  </si>
  <si>
    <t>Stable growth rate</t>
  </si>
  <si>
    <t>I assume Lilly matures into a large global healthcare name that grows a little below the wider economy because of patent cycles and payer pressure. I keep terminal growth close to the risk-free rate but below it, which fits a mature drug maker that still benefits from ageing populations and chronic disease prevalence. This stays within the hard constraint and avoids building in unrealistic perpetual outperformance.</t>
  </si>
  <si>
    <t>Years to stability</t>
  </si>
  <si>
    <t>I give Lilly a long but not extreme high-growth runway because the GLP-1 opportunity can scale for years, yet the business will still face patent cliffs, new entrants, and reimbursement negotiation. With Y set to 10, the model applies the high growth rate for 5 years, which lines up with the medium-term consensus ramp in revenue. It then tapers, which fits a late growth firm moving towards maturity.</t>
  </si>
  <si>
    <t>Sales-to-equity ratio</t>
  </si>
  <si>
    <t>Lilly runs with meaningful intangible investment and rising manufacturing capex, so it does not look capital light even though it sells high-value medicines. The historical adjusted sales to equity ratio sits just under 1.0 and remains around the industry upper quartile range. I hold it near 1.0 to reflect strong efficiency, but also the need to fund capacity build-out and pipeline investment.</t>
  </si>
  <si>
    <t>Stable net profit margin</t>
  </si>
  <si>
    <t>I expect margins to settle above the industry median because Lilly has scale and premium products, but below the recent peak because competition, payer pressure, and ongoing R&amp;D will persist. The adjusted margin jumped to the mid-30s on mix and scale effects, which looks hard to sustain through a full cycle in pharma. A mid-20s stable margin fits a strong but normalised franchise.</t>
  </si>
  <si>
    <t>FY+1 net profit margin</t>
  </si>
  <si>
    <t>I expect the next year margin to stay high but step down from the recent peak as Lilly keeps spending on R&amp;D, acquired pipeline assets, and commercial build-out for new indications. The qualitative notes flag near-term margin pressure from these items even while revenue stays strong. I therefore set FY+1 as a still-elevated margin that starts a gradual move towards the stable level rather than a simple midpoint.</t>
  </si>
  <si>
    <t>Margin convergence</t>
  </si>
  <si>
    <t>I assume margins take time to normalise because the product mix benefit and operating leverage fade gradually, not all at once. At the same time, sustained high R&amp;D and manufacturing ramp costs should keep margins from staying at peak levels for a full decade. I converge in 6 years, which keeps convergence inside the 10-year growth horizon and matches a realistic pharma investment cycle.</t>
  </si>
  <si>
    <t>Stable ROE</t>
  </si>
  <si>
    <t>I assume Lilly retains above-average returns in maturity because its brand, scale, and pipeline capabilities create durable but not unchallenged advantages. Current adjusted ROE sits far above industry percentiles, which likely reflects a temporary mix and growth surge rather than a permanent state. A stable ROE around the high end of industry outcomes stays well above the stable cost of equity, which fits value creation in a strong mature pharma.</t>
  </si>
  <si>
    <t>Credit rating</t>
  </si>
  <si>
    <t>A2/A</t>
  </si>
  <si>
    <t>Lilly carries meaningful debt and funds heavy investment plus shareholder returns, but it also generates strong cash flow and has a diversified set of large products. The business risk stays moderate for a major drug maker, while the financial risk looks contained under a base case of continued growth and solid profitability. That combination fits a strong single-A profile rather than a higher rating.</t>
  </si>
  <si>
    <t>Recovery ratio</t>
  </si>
  <si>
    <t>I assume a mid-level recovery because Lilly holds valuable IP and global manufacturing assets, but much of the value sits in intangibles that can lose worth fast if products face disruption. Large pharma typically supports better recoveries than most sectors, yet it rarely reaches very high recoveries because patents and franchises can be fragile in distress. A 50% recovery fits this balance.</t>
  </si>
  <si>
    <t>DCF model</t>
  </si>
  <si>
    <t/>
  </si>
  <si>
    <t>Base year</t>
  </si>
  <si>
    <t>Revenue</t>
  </si>
  <si>
    <t>Growth, year-on-year, %</t>
  </si>
  <si>
    <t>Less: All expenses</t>
  </si>
  <si>
    <t>Net profit to common equity</t>
  </si>
  <si>
    <t>Net profit margin, %</t>
  </si>
  <si>
    <t>Less: Net reinvestment</t>
  </si>
  <si>
    <t>Invested common equity</t>
  </si>
  <si>
    <t>Return on common equity, %</t>
  </si>
  <si>
    <t>Sales to equity ratio, x</t>
  </si>
  <si>
    <t>Free cash flow to equity</t>
  </si>
  <si>
    <t>Plus: Stable value</t>
  </si>
  <si>
    <t>Free cash flows to be discounted</t>
  </si>
  <si>
    <t>Multiply: Discount factor</t>
  </si>
  <si>
    <t>Cost of equity, %</t>
  </si>
  <si>
    <t>Present value of free cash flows to equity</t>
  </si>
  <si>
    <t>Sum of PV of FCFE</t>
  </si>
  <si>
    <t>Less: Distress adjustments</t>
  </si>
  <si>
    <t>Distress likelihood, %</t>
  </si>
  <si>
    <t>Recovery ratio, %</t>
  </si>
  <si>
    <t>Adjusted equity value</t>
  </si>
  <si>
    <t>Less: Employee options</t>
  </si>
  <si>
    <t>Less: Unfunded liabilities</t>
  </si>
  <si>
    <t>Value of common shareholders' equity</t>
  </si>
  <si>
    <t>Divide: Share count</t>
  </si>
  <si>
    <t>Equity value per share</t>
  </si>
  <si>
    <t>Other claims</t>
  </si>
  <si>
    <t>Employee stock options</t>
  </si>
  <si>
    <t>Number</t>
  </si>
  <si>
    <t>Strike price</t>
  </si>
  <si>
    <t>Maturity</t>
  </si>
  <si>
    <t>Assumed volatility</t>
  </si>
  <si>
    <t>Assumed dividend yield</t>
  </si>
  <si>
    <t>Value</t>
  </si>
  <si>
    <t>Unfunded liabilities</t>
  </si>
  <si>
    <t>Item</t>
  </si>
  <si>
    <t>Explanation</t>
  </si>
  <si>
    <t>Pension Obligations</t>
  </si>
  <si>
    <t>Post Retirement Benefits</t>
  </si>
  <si>
    <t>Healthcare Liabilities</t>
  </si>
  <si>
    <t>Deferred Compensation</t>
  </si>
  <si>
    <t>Lawsuit Contingencies</t>
  </si>
  <si>
    <t>I used the $435.0m litigation charge disclosed for 2024 as the best quantified lawsuit exposure in the excerpt. I applied a 50% probability because the filing describes active, uncertain litigation outcomes, so the expected value is $217.5m.</t>
  </si>
  <si>
    <t>Environmental Liabilities</t>
  </si>
  <si>
    <t>I used the environmental-related Brazilian Cosmopolis facility LPA ruling amount of BRL 1.4bn (inflation-adjusted) as the main quantified exposure. I applied a 40% probability because appeals are pending and the amount is not final, so the expected value is BRL 560.0m.</t>
  </si>
  <si>
    <t>Other</t>
  </si>
  <si>
    <t>Financials</t>
  </si>
  <si>
    <t>Fiscal Year</t>
  </si>
  <si>
    <t>YoY Growth</t>
  </si>
  <si>
    <t>Adjusted Net Profit</t>
  </si>
  <si>
    <t>Margin</t>
  </si>
  <si>
    <t>Reinvestment</t>
  </si>
  <si>
    <t>FCFE</t>
  </si>
  <si>
    <t>Adjusted Equity</t>
  </si>
  <si>
    <t>Return on Equity (ROE)</t>
  </si>
  <si>
    <t>Sales to Equity Ratio</t>
  </si>
  <si>
    <t>Segments</t>
  </si>
  <si>
    <t>Geographic segments</t>
  </si>
  <si>
    <t>Segment</t>
  </si>
  <si>
    <t>FY2024</t>
  </si>
  <si>
    <t>FY2023</t>
  </si>
  <si>
    <t>FY2022</t>
  </si>
  <si>
    <t>CHINA</t>
  </si>
  <si>
    <t>Europe</t>
  </si>
  <si>
    <t>JAPAN</t>
  </si>
  <si>
    <t>Non-US</t>
  </si>
  <si>
    <t>UNITED STATES</t>
  </si>
  <si>
    <t>Total</t>
  </si>
  <si>
    <t>Operating segments</t>
  </si>
  <si>
    <t>Collaboration and Other Revenue</t>
  </si>
  <si>
    <t>Product</t>
  </si>
  <si>
    <t>Multiples</t>
  </si>
  <si>
    <t>Metric</t>
  </si>
  <si>
    <t>Company multiple</t>
  </si>
  <si>
    <t>Percentile of industry multiples</t>
  </si>
  <si>
    <t>Price-to-sales</t>
  </si>
  <si>
    <t>20.6x</t>
  </si>
  <si>
    <t>≥90th</t>
  </si>
  <si>
    <t>Price-to-earnings</t>
  </si>
  <si>
    <t>60.4x</t>
  </si>
  <si>
    <t>81th</t>
  </si>
  <si>
    <t>Price-to-book</t>
  </si>
  <si>
    <t>19.9x</t>
  </si>
  <si>
    <t>Values show the company's implied share price if it traded at the peer multiple for the listed percentile.</t>
  </si>
  <si>
    <t>Implied prices</t>
  </si>
  <si>
    <t>P10</t>
  </si>
  <si>
    <t>P25</t>
  </si>
  <si>
    <t>P50</t>
  </si>
  <si>
    <t>P75</t>
  </si>
  <si>
    <t>P90</t>
  </si>
  <si>
    <t>Cost of equity</t>
  </si>
  <si>
    <t>Risk-free rate calculation</t>
  </si>
  <si>
    <t>Ten-year bond yield</t>
  </si>
  <si>
    <t>Bond yield country</t>
  </si>
  <si>
    <t>United States of America</t>
  </si>
  <si>
    <t>Default spread</t>
  </si>
  <si>
    <t>Risk-free rate</t>
  </si>
  <si>
    <t>Beta calculation</t>
  </si>
  <si>
    <t>Sales</t>
  </si>
  <si>
    <t>EV/Sales</t>
  </si>
  <si>
    <t>Weight</t>
  </si>
  <si>
    <t>Business beta</t>
  </si>
  <si>
    <t>Debt-to-equity ratio</t>
  </si>
  <si>
    <t>Cash-to-firm ratio</t>
  </si>
  <si>
    <t>Marginal tax rate</t>
  </si>
  <si>
    <t>Equity beta</t>
  </si>
  <si>
    <t>Equity risk premium (ERP) calculation</t>
  </si>
  <si>
    <t>Country</t>
  </si>
  <si>
    <t>ERP</t>
  </si>
  <si>
    <t>Tax rate</t>
  </si>
  <si>
    <t>China</t>
  </si>
  <si>
    <t>Global (ex United States)</t>
  </si>
  <si>
    <t>Japan</t>
  </si>
  <si>
    <t>Company equity risk premium</t>
  </si>
  <si>
    <t>Cost of equity calculation</t>
  </si>
  <si>
    <t>Plus: Equity beta × Equity risk premium</t>
  </si>
  <si>
    <t>Equity risk premium</t>
  </si>
  <si>
    <t>Stable cost of equity calculation</t>
  </si>
  <si>
    <t>Plus: Stable beta (clamped) × Equity risk premium</t>
  </si>
  <si>
    <t>Stable beta (clamped)</t>
  </si>
  <si>
    <t>Stable cost of equity</t>
  </si>
  <si>
    <t>Scenarios</t>
  </si>
  <si>
    <t>Case</t>
  </si>
  <si>
    <t>Per Share</t>
  </si>
  <si>
    <t>Upside %</t>
  </si>
  <si>
    <t>base</t>
  </si>
  <si>
    <t>bear</t>
  </si>
  <si>
    <t>bull</t>
  </si>
  <si>
    <t>Bull-case scenario</t>
  </si>
  <si>
    <t>Value per share</t>
  </si>
  <si>
    <t>Lilly sits in a late growth phase and turns its obesity and diabetes leadership into a wider cardiometabolic platform with several successful new indications and faster global access. I assume capacity expansions come online smoothly, supply stays reliable, and payer coverage improves, so volume growth stays stronger than the industry trend and beats what the market bakes into medium-term expectations. I assume Lilly keeps premium pricing power for longer because outcomes data and brand trust support favourable formulary placement, while its pipeline adds new revenue streams that reduce single-product dependence. This bull case stays plausible because the recent growth surge, high adjusted profitability, and planned manufacturing build-out already point to an unusually strong franchise, even though competition and policy risk still limit the long-run steady state.</t>
  </si>
  <si>
    <t>Value driver</t>
  </si>
  <si>
    <t>I treat Lilly as a late growth pharma that turns the obesity and diabetes franchise into a broader cardiometabolic platform, with faster international roll-out and more indications than the market expects. The analyst revenue path already implies a very strong ramp from about $45B to about $91B over the next few years, and this bull case assumes less supply friction and better access outcomes, so I push the early growth rate above the base case. A 20% rate for the first half of the horizon stays aggressive but plausible for a company coming off a one-year 32% jump and still scaling a category-defining product class.</t>
  </si>
  <si>
    <t>I assume Lilly still matures into a very large global drug maker, so I anchor terminal growth near long-run nominal growth rather than keeping it in the teens. In a bull case, I sit it close to the risk-free rate to reflect durable chronic-disease demand and continued innovation, but I keep it below the hard cap. This avoids assuming perpetual share gains in a patent-driven industry.</t>
  </si>
  <si>
    <t>I extend the high-growth runway because the bull case needs more time for capacity expansions, new indications, and wider payer coverage to work through the system. With Y at 12, the model holds the higher growth rate for 6 years, which fits the strong multi-year consensus trajectory into the high double-digit billions and allows extra upside beyond it. I still taper after that because competition and reimbursement negotiation will rise as the market matures.</t>
  </si>
  <si>
    <t>I assume Lilly converts growth into sales with slightly better capital efficiency as new plants ramp and fixed assets absorb more volume. The adjusted history sits near 1.0 and the industry 90th percentile is around 1.2, so a modest lift stays credible for a scaled manufacturer of high-value medicines. I do not push it too high because the bull case still includes heavy reinvestment in capacity, R&amp;D, and launches.</t>
  </si>
  <si>
    <t>I assume Lilly keeps a premium mix and gains operating leverage as volumes rise, while intangible investment remains high but more productive. The adjusted margin has already reached the mid-30s, so a high-20s steady-state margin looks achievable in a bull case even after normalisation from peak conditions. This stays above the industry upper quartile and close to the top decile without assuming the peak becomes permanent.</t>
  </si>
  <si>
    <t>I keep the next-year adjusted margin high because scale effects and favourable mix persist, and the bull case assumes fewer supply and launch inefficiencies. I still allow for ongoing R&amp;D and acquired in-process R&amp;D spend to weigh on reported results, so I do not take the recent peak at face value. This sets a credible starting point for a gradual move towards a high-20s stable margin.</t>
  </si>
  <si>
    <t>I slow convergence because the bull case assumes Lilly sustains strong mix and volume benefits for longer before competitive and payer pressure fully bite. The analyst net income trajectory rises strongly over the medium term, which supports a longer period of elevated profitability even if reported margins get noisy from expensed R&amp;D and deal costs. Seven years keeps convergence inside the 12-year growth horizon and matches a long product-cycle in pharma.</t>
  </si>
  <si>
    <t>I assume Lilly preserves top-end returns in maturity because its platform, scale, and pipeline execution stay better than peers. Current adjusted ROE sits far above the industry 90th percentile, so I still bring it down, but I keep it above the base case to reflect a stronger and more durable moat in this scenario. This remains comfortably above the stable cost of equity, so value creation stays intact.</t>
  </si>
  <si>
    <t>A1/A+</t>
  </si>
  <si>
    <t>I assume stronger and more stable cash generation from the core franchises, which supports leverage tolerance even with continued buybacks and investment. The business risk stays typical for large pharma, but the bull case improves interest cover and reduces refinancing stress from the long-dated debt stack. That combination supports a move up within single-A rather than forcing an unrealistic AA profile.</t>
  </si>
  <si>
    <t>I assume slightly better recovery because higher scale and a broader set of profitable products increase the value of manufacturing sites and the going-concern franchise in distress. I still cap recovery because much of the economic value sits in patents, brand, and know-how, which can weaken quickly if a franchise breaks. A mid-50% level fits large pharma asset quality without overstating intangibles.</t>
  </si>
  <si>
    <t>Bear-case scenario</t>
  </si>
  <si>
    <t>I treat Lilly as a late growth drug maker that moves into maturity faster because key risks hit at the same time. I assume obesity and diabetes growth slows as payers tighten access, competition closes the efficacy gap, and Lilly faces supply and quality execution issues while it expands capacity. I also assume Lilly keeps spending heavily on research and development and deals, so costs stay high even as revenue growth cools. This bear case stays plausible because Lilly relies on a few large product classes and faces well-known pharma pressures such as pricing action, patent cycles, and manufacturing disruption risk.</t>
  </si>
  <si>
    <t>I assume the obesity and diabetes surge cools faster than the analyst path implies because payers tighten access, rivals gain share, and supply expansion proves less smooth. This still allows strong growth, but it treats Lilly as a late growth firm moving into maturity sooner in this bear case. A low-teens rate fits a large drug maker where the biggest products keep growing but the mix shift becomes less favourable.</t>
  </si>
  <si>
    <t>I assume Lilly settles into mature pharma growth that tracks long-run nominal economic growth but stays below the risk-free rate. In this bear case, payer pressure and patent cycles limit perpetual outperformance even if demand for chronic disease drugs remains solid. This keeps the terminal assumption conservative and inside the hard constraint.</t>
  </si>
  <si>
    <t>I shorten the high-growth runway because the bear case assumes earlier competitive and reimbursement pushback in GLP 1 and higher execution risk in scaling manufacturing. With Y at 8, the model applies the higher growth rate for 4 years, which matches a scenario where the medium-term ramp slows earlier than consensus. I then taper growth into a mature profile sooner to reflect faster saturation and normal pharma headwinds.</t>
  </si>
  <si>
    <t>I assume Lilly needs more equity-funded investment per $ of sales because it keeps building capacity and funds heavy pipeline work, but the bear case delivers less revenue per unit of reinvestment. The adjusted history sits near 0.8 to 1.0, so I move it towards the lower end of that band. This reflects lower capital efficiency if demand growth slows while capex and intangible investment stay high.</t>
  </si>
  <si>
    <t>I assume margins normalise further because pricing pressure rises, marketing spend increases to defend share, and manufacturing and quality costs stay elevated. The current adjusted margin sits above the industry 90th percentile, which looks hard to hold through a tougher cycle. A low 20s stable margin still implies a strong franchise but removes the peak mix benefit seen in recent results.</t>
  </si>
  <si>
    <t>I build in a sharper near-term step down because the notes flag heavy research and development, acquired in process research and development, and continued commercial and capacity spend. This margin also reflects the gap between consensus net income margins and our adjusted margins, since capitalised intangibles make the adjusted margin look higher in good years but also smooth less of the spending spike in a bear case. I set FY+1 to start the move towards a lower steady margin without assuming an immediate collapse.</t>
  </si>
  <si>
    <t>I pull convergence forward because the bear case assumes quicker erosion of peak economics from competition and payer action. Lilly also scales spending fast, so operating leverage can reverse quickly if volume growth slows. Five years keeps convergence inside the growth horizon and fits a faster shift from late growth to maturity.</t>
  </si>
  <si>
    <t>I assume returns fall towards the upper part of the industry range as the GLP 1 windfall fades and extra investment dilutes profitability. The adjusted ROE is very high recently, but that level looks cycle-like rather than permanent in a tougher pricing and competitive environment. A mid teens stable ROE stays above the stable cost of equity, so value creation remains possible even in this bear case.</t>
  </si>
  <si>
    <t>Baa1/BBB+</t>
  </si>
  <si>
    <t>I assume higher financial risk because Lilly keeps funding large capex, acquisitions, and buybacks while margins soften, which increases leverage pressure. The business risk stays moderate for big pharma, but weaker coverage and larger funding needs justify a step down from single A. BBB+ still fits a large, cash-generative firm with strong product franchises but more balance sheet strain.</t>
  </si>
  <si>
    <t>I assume slightly lower recovery because more value sits in product franchises and intellectual property that can lose worth quickly if key therapies face competitive or regulatory shocks. Pharma still has tangible plants and a diversified portfolio, which supports meaningful recovery. A mid 40s recovery reflects that balance in a bear default scenario.</t>
  </si>
  <si>
    <t>Sensitivity</t>
  </si>
  <si>
    <t xml:space="preserve">Stable growth rate →
↓ Cost of equity</t>
  </si>
  <si>
    <t>Note: Green cells indicate scenarios where the calculated intrinsic value per share is above the current market price, suggesting potential undervaluation. Red cells indicate scenarios where the intrinsic value is below the market price, suggesting potential overvaluation.</t>
  </si>
  <si>
    <t>Reverse DCF</t>
  </si>
  <si>
    <t>Driver</t>
  </si>
  <si>
    <t>Base Value</t>
  </si>
  <si>
    <t>Market Implied</t>
  </si>
  <si>
    <t>Difference</t>
  </si>
  <si>
    <t>Monte-Carlo simulation percentile distribution</t>
  </si>
  <si>
    <t>Percentile</t>
  </si>
  <si>
    <t>Price</t>
  </si>
  <si>
    <t>P0</t>
  </si>
  <si>
    <t>P5</t>
  </si>
  <si>
    <t>P15</t>
  </si>
  <si>
    <t>P20</t>
  </si>
  <si>
    <t>P30</t>
  </si>
  <si>
    <t>P35</t>
  </si>
  <si>
    <t>P40</t>
  </si>
  <si>
    <t>P45</t>
  </si>
  <si>
    <t>P55</t>
  </si>
  <si>
    <t>P60</t>
  </si>
  <si>
    <t>P65</t>
  </si>
  <si>
    <t>P70</t>
  </si>
  <si>
    <t>P80</t>
  </si>
  <si>
    <t>P85</t>
  </si>
  <si>
    <t>P95</t>
  </si>
  <si>
    <t>P100</t>
  </si>
  <si>
    <t>The Monte Carlo distribution maps simulated prices to percentiles. Recommendations follow these: below the 10th is a Strong Buy, below the 25th a Buy, the 25th–75th a Hold, the 75th–90th a Sell, and anything higher a Strong Sell. Green shading indicates buy zones, gray indicates hold, and red indicates sell zones.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</si>
</sst>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quot;US$&quot;#,##0.00"/>
    <numFmt numFmtId="165" formatCode="0.0%"/>
    <numFmt numFmtId="166" formatCode="yyyy-mm-dd"/>
    <numFmt numFmtId="167" formatCode="#,##0.0"/>
    <numFmt numFmtId="168" formatCode="0.0"/>
    <numFmt numFmtId="169" formatCode="0.000"/>
    <numFmt numFmtId="170" formatCode="&quot;US$&quot;#,##0"/>
    <numFmt numFmtId="171" formatCode="#0.0"/>
  </numFmts>
  <fonts count="19" x14ac:knownFonts="1">
    <font>
      <color theme="1"/>
      <family val="2"/>
      <scheme val="minor"/>
      <sz val="11"/>
      <name val="Calibri"/>
    </font>
    <font>
      <b/>
      <color rgb="FF0284c7"/>
      <sz val="32"/>
    </font>
    <font>
      <b/>
      <color rgb="FF111827"/>
      <sz val="26"/>
    </font>
    <font>
      <color rgb="FF111827"/>
      <sz val="12"/>
    </font>
    <font>
      <u/>
      <color rgb="FF0284c7"/>
      <sz val="12"/>
    </font>
    <font>
      <color rgb="FF111827"/>
      <sz val="10"/>
    </font>
    <font>
      <b/>
      <color rgb="FFFFFFFF"/>
      <sz val="26"/>
    </font>
    <font>
      <sz val="12"/>
    </font>
    <font>
      <color rgb="FF1F4E79"/>
      <sz val="12"/>
    </font>
    <font>
      <b/>
      <u/>
    </font>
    <font>
      <b/>
      <u/>
      <sz val="12"/>
    </font>
    <font>
      <b/>
      <sz val="12"/>
    </font>
    <font>
      <b/>
      <color rgb="FF000000"/>
      <sz val="12"/>
    </font>
    <font>
      <color rgb="FF000000"/>
      <sz val="12"/>
    </font>
    <font>
      <b/>
    </font>
    <font>
      <b/>
      <color rgb="FF1F4E79"/>
      <sz val="12"/>
    </font>
    <font>
      <i/>
    </font>
    <font>
      <i/>
      <sz val="12"/>
    </font>
    <font>
      <sz val="10"/>
    </font>
  </fonts>
  <fills count="12">
    <fill>
      <patternFill patternType="none"/>
    </fill>
    <fill>
      <patternFill patternType="gray125"/>
    </fill>
    <fill>
      <patternFill patternType="solid">
        <fgColor rgb="FF0284c7"/>
      </patternFill>
    </fill>
    <fill>
      <patternFill patternType="solid">
        <fgColor rgb="FFFFFDE6"/>
      </patternFill>
    </fill>
    <fill>
      <patternFill patternType="solid">
        <fgColor rgb="FFFCE5CD"/>
      </patternFill>
    </fill>
    <fill>
      <patternFill patternType="solid">
        <fgColor rgb="FFFFE6E6"/>
      </patternFill>
    </fill>
    <fill>
      <patternFill patternType="solid">
        <fgColor rgb="FFE6F9E6"/>
      </patternFill>
    </fill>
    <fill>
      <patternFill patternType="solid">
        <fgColor rgb="FF198754"/>
      </patternFill>
    </fill>
    <fill>
      <patternFill patternType="solid">
        <fgColor rgb="FFD1E7DD"/>
      </patternFill>
    </fill>
    <fill>
      <patternFill patternType="solid">
        <fgColor rgb="FFE5E7EB"/>
      </patternFill>
    </fill>
    <fill>
      <patternFill patternType="solid">
        <fgColor rgb="FFF8D7DA"/>
      </patternFill>
    </fill>
    <fill>
      <patternFill patternType="solid">
        <fgColor rgb="FFDC3545"/>
      </patternFill>
    </fill>
  </fills>
  <borders count="5">
    <border>
      <left/>
      <right/>
      <top/>
      <bottom/>
      <diagonal/>
    </border>
    <border>
      <left/>
      <right/>
      <top/>
      <bottom style="thin">
        <color rgb="FF0284c7"/>
      </bottom>
      <diagonal/>
    </border>
    <border>
      <left style="thin">
        <color rgb="FF000000"/>
      </left>
      <right style="thin">
        <color rgb="FF000000"/>
      </right>
      <top style="thin">
        <color rgb="FF000000"/>
      </top>
      <bottom style="thin">
        <color rgb="FF000000"/>
      </bottom>
      <diagonal/>
    </border>
    <border>
      <left/>
      <right/>
      <top/>
      <bottom style="thin"/>
      <diagonal/>
    </border>
    <border>
      <left/>
      <right style="thin"/>
      <top/>
      <bottom/>
      <diagonal/>
    </border>
  </borders>
  <cellStyleXfs count="1">
    <xf numFmtId="0" fontId="0" fillId="0" borderId="0"/>
  </cellStyleXfs>
  <cellXfs count="77">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left"/>
    </xf>
    <xf numFmtId="0" fontId="0" fillId="0" borderId="0" xfId="0" applyAlignment="1">
      <alignment horizontal="right"/>
    </xf>
    <xf numFmtId="0" fontId="6" fillId="2" borderId="1" xfId="0" applyFont="1" applyFill="1" applyBorder="1" applyAlignment="1">
      <alignment horizontal="left" vertical="center"/>
    </xf>
    <xf numFmtId="0" fontId="6" fillId="2" borderId="1" xfId="0" applyFont="1" applyFill="1" applyBorder="1" applyAlignment="1">
      <alignment horizontal="left"/>
    </xf>
    <xf numFmtId="0" fontId="6" fillId="2" borderId="1" xfId="0" applyFont="1" applyFill="1" applyBorder="1" applyAlignment="1">
      <alignment horizontal="right"/>
    </xf>
    <xf numFmtId="0" fontId="7" fillId="0" borderId="0" xfId="0" applyFont="1" applyAlignment="1">
      <alignment horizontal="left"/>
    </xf>
    <xf numFmtId="0" fontId="7" fillId="0" borderId="0" xfId="0" applyFont="1" applyAlignment="1">
      <alignment horizontal="right"/>
    </xf>
    <xf numFmtId="164" fontId="8" fillId="0" borderId="0" xfId="0" applyNumberFormat="1" applyFont="1" applyAlignment="1">
      <alignment horizontal="right"/>
    </xf>
    <xf numFmtId="165" fontId="8" fillId="0" borderId="0" xfId="0" applyNumberFormat="1" applyFont="1" applyAlignment="1">
      <alignment horizontal="right"/>
    </xf>
    <xf numFmtId="166" fontId="7" fillId="0" borderId="0" xfId="0" applyNumberFormat="1" applyFont="1" applyAlignment="1">
      <alignment horizontal="right"/>
    </xf>
    <xf numFmtId="167" fontId="8" fillId="0" borderId="0" xfId="0" applyNumberFormat="1" applyFont="1" applyAlignment="1">
      <alignment horizontal="right"/>
    </xf>
    <xf numFmtId="0" fontId="9" fillId="0" borderId="0" xfId="0" applyFont="1"/>
    <xf numFmtId="0" fontId="10" fillId="0" borderId="0" xfId="0" applyFont="1" applyAlignment="1">
      <alignment horizontal="left"/>
    </xf>
    <xf numFmtId="165" fontId="8" fillId="3" borderId="2" xfId="0" applyNumberFormat="1" applyFont="1" applyFill="1" applyBorder="1" applyAlignment="1">
      <alignment horizontal="right"/>
    </xf>
    <xf numFmtId="167" fontId="8" fillId="3" borderId="2" xfId="0" applyNumberFormat="1" applyFont="1" applyFill="1" applyBorder="1" applyAlignment="1">
      <alignment horizontal="right"/>
    </xf>
    <xf numFmtId="0" fontId="11" fillId="0" borderId="3" xfId="0" applyFont="1" applyBorder="1" applyAlignment="1">
      <alignment horizontal="left"/>
    </xf>
    <xf numFmtId="0" fontId="11" fillId="0" borderId="3" xfId="0" applyFont="1" applyBorder="1" applyAlignment="1">
      <alignment horizontal="right"/>
    </xf>
    <xf numFmtId="0" fontId="12" fillId="0" borderId="3" xfId="0" applyFont="1" applyBorder="1" applyAlignment="1">
      <alignment horizontal="right"/>
    </xf>
    <xf numFmtId="3" fontId="13" fillId="0" borderId="0" xfId="0" applyNumberFormat="1" applyFont="1" applyAlignment="1">
      <alignment horizontal="right"/>
    </xf>
    <xf numFmtId="165" fontId="13" fillId="0" borderId="0" xfId="0" applyNumberFormat="1" applyFont="1" applyAlignment="1">
      <alignment horizontal="right"/>
    </xf>
    <xf numFmtId="168" fontId="13" fillId="0" borderId="0" xfId="0" applyNumberFormat="1" applyFont="1" applyAlignment="1">
      <alignment horizontal="right"/>
    </xf>
    <xf numFmtId="169" fontId="13" fillId="0" borderId="0" xfId="0" applyNumberFormat="1" applyFont="1" applyAlignment="1">
      <alignment horizontal="right"/>
    </xf>
    <xf numFmtId="3" fontId="8" fillId="0" borderId="0" xfId="0" applyNumberFormat="1" applyFont="1" applyAlignment="1">
      <alignment horizontal="right"/>
    </xf>
    <xf numFmtId="167" fontId="13" fillId="0" borderId="0" xfId="0" applyNumberFormat="1" applyFont="1" applyAlignment="1">
      <alignment horizontal="right"/>
    </xf>
    <xf numFmtId="164" fontId="13" fillId="4" borderId="0" xfId="0" applyNumberFormat="1" applyFont="1" applyFill="1" applyAlignment="1">
      <alignment horizontal="right"/>
    </xf>
    <xf numFmtId="0" fontId="10" fillId="0" borderId="0" xfId="0" applyFont="1" applyAlignment="1">
      <alignment horizontal="right"/>
    </xf>
    <xf numFmtId="0" fontId="14" fillId="0" borderId="0" xfId="0" applyFont="1"/>
    <xf numFmtId="3" fontId="8" fillId="0" borderId="0" xfId="0" applyNumberFormat="1" applyFont="1" applyAlignment="1">
      <alignment horizontal="left"/>
    </xf>
    <xf numFmtId="1" fontId="8" fillId="0" borderId="0" xfId="0" applyNumberFormat="1" applyFont="1" applyAlignment="1">
      <alignment horizontal="left"/>
    </xf>
    <xf numFmtId="164" fontId="7" fillId="0" borderId="0" xfId="0" applyNumberFormat="1" applyFont="1" applyAlignment="1">
      <alignment horizontal="right"/>
    </xf>
    <xf numFmtId="0" fontId="11" fillId="0" borderId="0" xfId="0" applyFont="1" applyAlignment="1">
      <alignment horizontal="right"/>
    </xf>
    <xf numFmtId="1" fontId="15" fillId="0" borderId="3" xfId="0" applyNumberFormat="1" applyFont="1" applyBorder="1" applyAlignment="1">
      <alignment horizontal="right"/>
    </xf>
    <xf numFmtId="165" fontId="0" fillId="0" borderId="0" xfId="0" applyNumberFormat="1" applyAlignment="1">
      <alignment horizontal="right"/>
    </xf>
    <xf numFmtId="165" fontId="6" fillId="2" borderId="1" xfId="0" applyNumberFormat="1" applyFont="1" applyFill="1" applyBorder="1" applyAlignment="1">
      <alignment horizontal="right"/>
    </xf>
    <xf numFmtId="165" fontId="7" fillId="0" borderId="0" xfId="0" applyNumberFormat="1" applyFont="1" applyAlignment="1">
      <alignment horizontal="right"/>
    </xf>
    <xf numFmtId="165" fontId="11" fillId="0" borderId="3" xfId="0" applyNumberFormat="1" applyFont="1" applyBorder="1" applyAlignment="1">
      <alignment horizontal="right"/>
    </xf>
    <xf numFmtId="0" fontId="11" fillId="0" borderId="0" xfId="0" applyFont="1" applyAlignment="1">
      <alignment horizontal="left"/>
    </xf>
    <xf numFmtId="0" fontId="16" fillId="0" borderId="0" xfId="0" applyFont="1"/>
    <xf numFmtId="0" fontId="17" fillId="0" borderId="0" xfId="0" applyFont="1" applyAlignment="1">
      <alignment horizontal="right"/>
    </xf>
    <xf numFmtId="170" fontId="8" fillId="0" borderId="0" xfId="0" applyNumberFormat="1" applyFont="1" applyAlignment="1">
      <alignment horizontal="right"/>
    </xf>
    <xf numFmtId="171" fontId="13" fillId="0" borderId="0" xfId="0" applyNumberFormat="1" applyFont="1" applyAlignment="1">
      <alignment horizontal="right"/>
    </xf>
    <xf numFmtId="164" fontId="0" fillId="0" borderId="0" xfId="0" applyNumberFormat="1" applyAlignment="1">
      <alignment horizontal="right"/>
    </xf>
    <xf numFmtId="165" fontId="0" fillId="0" borderId="0" xfId="0" applyNumberFormat="1" applyAlignment="1">
      <alignment horizontal="left"/>
    </xf>
    <xf numFmtId="164" fontId="6" fillId="2" borderId="1" xfId="0" applyNumberFormat="1" applyFont="1" applyFill="1" applyBorder="1" applyAlignment="1">
      <alignment horizontal="right"/>
    </xf>
    <xf numFmtId="165" fontId="6" fillId="2" borderId="1" xfId="0" applyNumberFormat="1" applyFont="1" applyFill="1" applyBorder="1" applyAlignment="1">
      <alignment horizontal="left"/>
    </xf>
    <xf numFmtId="165" fontId="7" fillId="0" borderId="0" xfId="0" applyNumberFormat="1" applyFont="1" applyAlignment="1">
      <alignment horizontal="left"/>
    </xf>
    <xf numFmtId="164" fontId="11" fillId="0" borderId="3" xfId="0" applyNumberFormat="1" applyFont="1" applyBorder="1" applyAlignment="1">
      <alignment horizontal="right"/>
    </xf>
    <xf numFmtId="165" fontId="11" fillId="0" borderId="3" xfId="0" applyNumberFormat="1" applyFont="1" applyBorder="1" applyAlignment="1">
      <alignment horizontal="left"/>
    </xf>
    <xf numFmtId="165" fontId="8" fillId="0" borderId="0" xfId="0" applyNumberFormat="1" applyFont="1" applyAlignment="1">
      <alignment horizontal="left"/>
    </xf>
    <xf numFmtId="164" fontId="10" fillId="0" borderId="0" xfId="0" applyNumberFormat="1" applyFont="1" applyAlignment="1">
      <alignment horizontal="right"/>
    </xf>
    <xf numFmtId="165" fontId="10" fillId="0" borderId="0" xfId="0" applyNumberFormat="1" applyFont="1" applyAlignment="1">
      <alignment horizontal="left"/>
    </xf>
    <xf numFmtId="10" fontId="11" fillId="0" borderId="3" xfId="0" applyNumberFormat="1" applyFont="1" applyBorder="1" applyAlignment="1">
      <alignment horizontal="right"/>
    </xf>
    <xf numFmtId="165" fontId="11" fillId="0" borderId="4" xfId="0" applyNumberFormat="1" applyFont="1" applyBorder="1" applyAlignment="1">
      <alignment horizontal="left"/>
    </xf>
    <xf numFmtId="164" fontId="7" fillId="5" borderId="0" xfId="0" applyNumberFormat="1" applyFont="1" applyFill="1" applyAlignment="1">
      <alignment horizontal="right"/>
    </xf>
    <xf numFmtId="164" fontId="7" fillId="6" borderId="0" xfId="0" applyNumberFormat="1" applyFont="1" applyFill="1" applyAlignment="1">
      <alignment horizontal="right"/>
    </xf>
    <xf numFmtId="0" fontId="5" fillId="0" borderId="0" xfId="0" applyFont="1"/>
    <xf numFmtId="0" fontId="5" fillId="0" borderId="0" xfId="0" applyFont="1" applyAlignment="1">
      <alignment horizontal="left"/>
    </xf>
    <xf numFmtId="0" fontId="5" fillId="0" borderId="0" xfId="0" applyFont="1" applyAlignment="1">
      <alignment horizontal="right"/>
    </xf>
    <xf numFmtId="167" fontId="0" fillId="0" borderId="0" xfId="0" applyNumberFormat="1" applyAlignment="1">
      <alignment horizontal="right"/>
    </xf>
    <xf numFmtId="167" fontId="6" fillId="2" borderId="1" xfId="0" applyNumberFormat="1" applyFont="1" applyFill="1" applyBorder="1" applyAlignment="1">
      <alignment horizontal="right"/>
    </xf>
    <xf numFmtId="167" fontId="7" fillId="0" borderId="0" xfId="0" applyNumberFormat="1" applyFont="1" applyAlignment="1">
      <alignment horizontal="right"/>
    </xf>
    <xf numFmtId="167" fontId="11" fillId="0" borderId="3" xfId="0" applyNumberFormat="1" applyFont="1" applyBorder="1" applyAlignment="1">
      <alignment horizontal="right"/>
    </xf>
    <xf numFmtId="168" fontId="8" fillId="0" borderId="0" xfId="0" applyNumberFormat="1" applyFont="1" applyAlignment="1">
      <alignment horizontal="right"/>
    </xf>
    <xf numFmtId="167" fontId="10" fillId="0" borderId="0" xfId="0" applyNumberFormat="1" applyFont="1" applyAlignment="1">
      <alignment horizontal="right"/>
    </xf>
    <xf numFmtId="167" fontId="11" fillId="0" borderId="0" xfId="0" applyNumberFormat="1" applyFont="1" applyAlignment="1">
      <alignment horizontal="right"/>
    </xf>
    <xf numFmtId="164" fontId="7" fillId="7" borderId="0" xfId="0" applyNumberFormat="1" applyFont="1" applyFill="1" applyAlignment="1">
      <alignment horizontal="right"/>
    </xf>
    <xf numFmtId="164" fontId="7" fillId="8" borderId="0" xfId="0" applyNumberFormat="1" applyFont="1" applyFill="1" applyAlignment="1">
      <alignment horizontal="right"/>
    </xf>
    <xf numFmtId="164" fontId="7" fillId="9" borderId="0" xfId="0" applyNumberFormat="1" applyFont="1" applyFill="1" applyAlignment="1">
      <alignment horizontal="right"/>
    </xf>
    <xf numFmtId="164" fontId="7" fillId="10" borderId="0" xfId="0" applyNumberFormat="1" applyFont="1" applyFill="1" applyAlignment="1">
      <alignment horizontal="right"/>
    </xf>
    <xf numFmtId="164" fontId="7" fillId="11" borderId="0" xfId="0" applyNumberFormat="1" applyFont="1" applyFill="1" applyAlignment="1">
      <alignment horizontal="right"/>
    </xf>
    <xf numFmtId="0" fontId="18"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valuationbot.ai/analysis/16cb845a-221d-44c1-b269-3828c0b7c9fa/results" TargetMode="External"/><Relationship Id="rId2" Type="http://schemas.openxmlformats.org/officeDocument/2006/relationships/hyperlink" Target="https://valuationbot.a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owGridLines="0"/>
  </sheetViews>
  <sheetFormatPr defaultRowHeight="15" outlineLevelRow="0" outlineLevelCol="0" x14ac:dyDescent="55"/>
  <cols>
    <col min="1" max="2" width="50" customWidth="1"/>
  </cols>
  <sheetData>
    <row r="1" spans="1:2" x14ac:dyDescent="0.25">
      <c r="A1" s="1" t="s">
        <v>0</v>
      </c>
      <c r="B1" s="1"/>
    </row>
    <row r="2" spans="1:2" x14ac:dyDescent="0.25">
      <c r="A2" s="2" t="s">
        <v>1</v>
      </c>
      <c r="B2" s="2"/>
    </row>
    <row r="3" spans="1:2" x14ac:dyDescent="0.25">
      <c r="A3" s="3" t="s">
        <v>2</v>
      </c>
      <c r="B3" s="3"/>
    </row>
    <row r="4" spans="1:2" x14ac:dyDescent="0.25">
      <c r="A4" s="3" t="s">
        <v>3</v>
      </c>
      <c r="B4" s="3"/>
    </row>
    <row r="5" spans="1:2" x14ac:dyDescent="0.25">
      <c r="A5" s="3" t="s">
        <v>4</v>
      </c>
      <c r="B5" s="3"/>
    </row>
    <row r="6" spans="1:2" x14ac:dyDescent="0.25">
      <c r="A6" s="3" t="s">
        <v>5</v>
      </c>
      <c r="B6" s="3"/>
    </row>
    <row r="7" spans="1:2" x14ac:dyDescent="0.25">
      <c r="A7" s="4" t="s">
        <v>6</v>
      </c>
      <c r="B7" s="4"/>
    </row>
    <row r="8" spans="1:2" x14ac:dyDescent="0.25">
      <c r="A8" s="4" t="s">
        <v>0</v>
      </c>
      <c r="B8" s="4"/>
    </row>
    <row r="9" spans="1:2" x14ac:dyDescent="0.25">
      <c r="A9" s="5" t="s">
        <v>7</v>
      </c>
      <c r="B9" s="5"/>
    </row>
    <row r="10" spans="1:2" x14ac:dyDescent="0.25">
      <c r="A10" s="5" t="s">
        <v>8</v>
      </c>
      <c r="B10" s="5"/>
    </row>
  </sheetData>
  <mergeCells count="10">
    <mergeCell ref="A1:B1"/>
    <mergeCell ref="A2:B2"/>
    <mergeCell ref="A3:B3"/>
    <mergeCell ref="A4:B4"/>
    <mergeCell ref="A5:B5"/>
    <mergeCell ref="A6:B6"/>
    <mergeCell ref="A7:B7"/>
    <mergeCell ref="A8:B8"/>
    <mergeCell ref="A9:B9"/>
    <mergeCell ref="A10:B10"/>
  </mergeCells>
  <hyperlinks>
    <hyperlink ref="A7" r:id="rId1"/>
    <hyperlink ref="A8" r:id="rId2"/>
  </hyperlinks>
  <pageMargins left="0.7" right="0.7" top="0.75" bottom="0.75" header="0.3" footer="0.3"/>
  <pageSetup orientation="portrait" horizontalDpi="4294967295" verticalDpi="4294967295" scale="100" fitToWidth="1" fitToHeigh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howGridLines="0"/>
  </sheetViews>
  <sheetFormatPr defaultRowHeight="15" outlineLevelRow="0" outlineLevelCol="0" x14ac:dyDescent="55"/>
  <cols>
    <col min="1" max="1" width="20" style="6" customWidth="1"/>
    <col min="2" max="2" width="15" style="47" customWidth="1"/>
    <col min="3" max="3" width="15" style="48" customWidth="1"/>
  </cols>
  <sheetData>
    <row r="1" spans="1:3" s="8" customFormat="1" x14ac:dyDescent="0.25">
      <c r="A1" s="9" t="s">
        <v>184</v>
      </c>
      <c r="B1" s="49"/>
      <c r="C1" s="50"/>
    </row>
    <row r="2" spans="1:3" x14ac:dyDescent="0.25">
      <c r="A2" s="11" t="s">
        <v>10</v>
      </c>
      <c r="B2" s="35"/>
      <c r="C2" s="51"/>
    </row>
    <row r="4" spans="1:3" s="32" customFormat="1" x14ac:dyDescent="0.25">
      <c r="A4" s="21" t="s">
        <v>185</v>
      </c>
      <c r="B4" s="52" t="s">
        <v>186</v>
      </c>
      <c r="C4" s="53" t="s">
        <v>187</v>
      </c>
    </row>
    <row r="5" spans="1:3" x14ac:dyDescent="0.25">
      <c r="A5" s="11" t="s">
        <v>188</v>
      </c>
      <c r="B5" s="13">
        <v>501.9780001215847</v>
      </c>
      <c r="C5" s="54">
        <v>-0.5160025067525578</v>
      </c>
    </row>
    <row r="6" spans="1:3" x14ac:dyDescent="0.25">
      <c r="A6" s="11" t="s">
        <v>189</v>
      </c>
      <c r="B6" s="13">
        <v>254.7374761385326</v>
      </c>
      <c r="C6" s="54">
        <v>-0.7543870451347128</v>
      </c>
    </row>
    <row r="7" spans="1:3" x14ac:dyDescent="0.25">
      <c r="A7" s="11" t="s">
        <v>190</v>
      </c>
      <c r="B7" s="13">
        <v>837.886317273225</v>
      </c>
      <c r="C7" s="54">
        <v>-0.1921261945974787</v>
      </c>
    </row>
    <row r="9" spans="1:3" x14ac:dyDescent="0.25">
      <c r="A9" s="18" t="s">
        <v>191</v>
      </c>
      <c r="B9" s="35"/>
      <c r="C9" s="51"/>
    </row>
    <row r="10" spans="1:3" x14ac:dyDescent="0.25">
      <c r="A10" s="11" t="s">
        <v>192</v>
      </c>
      <c r="B10" s="13">
        <v>837.886317273225</v>
      </c>
      <c r="C10" s="51"/>
    </row>
    <row r="11" spans="1:3" x14ac:dyDescent="0.25">
      <c r="A11" s="11" t="s">
        <v>187</v>
      </c>
      <c r="B11" s="14">
        <v>-0.1921261945974787</v>
      </c>
      <c r="C11" s="51"/>
    </row>
    <row r="12" spans="1:3" x14ac:dyDescent="0.25">
      <c r="A12" s="11" t="s">
        <v>193</v>
      </c>
      <c r="B12" s="35"/>
      <c r="C12" s="51"/>
    </row>
    <row r="13" spans="1:3" s="17" customFormat="1" x14ac:dyDescent="0.25">
      <c r="A13" s="18" t="s">
        <v>194</v>
      </c>
      <c r="B13" s="55" t="s">
        <v>96</v>
      </c>
      <c r="C13" s="56" t="s">
        <v>99</v>
      </c>
    </row>
    <row r="14" spans="1:3" x14ac:dyDescent="0.25">
      <c r="A14" s="11" t="s">
        <v>40</v>
      </c>
      <c r="B14" s="14">
        <v>0.2</v>
      </c>
      <c r="C14" s="51" t="s">
        <v>195</v>
      </c>
    </row>
    <row r="15" spans="1:3" x14ac:dyDescent="0.25">
      <c r="A15" s="11" t="s">
        <v>42</v>
      </c>
      <c r="B15" s="14">
        <v>0.037</v>
      </c>
      <c r="C15" s="51" t="s">
        <v>196</v>
      </c>
    </row>
    <row r="16" spans="1:3" x14ac:dyDescent="0.25">
      <c r="A16" s="11" t="s">
        <v>44</v>
      </c>
      <c r="B16" s="16">
        <v>12</v>
      </c>
      <c r="C16" s="51" t="s">
        <v>197</v>
      </c>
    </row>
    <row r="17" spans="1:3" x14ac:dyDescent="0.25">
      <c r="A17" s="11" t="s">
        <v>46</v>
      </c>
      <c r="B17" s="16">
        <v>1.05</v>
      </c>
      <c r="C17" s="51" t="s">
        <v>198</v>
      </c>
    </row>
    <row r="18" spans="1:3" x14ac:dyDescent="0.25">
      <c r="A18" s="11" t="s">
        <v>48</v>
      </c>
      <c r="B18" s="14">
        <v>0.29</v>
      </c>
      <c r="C18" s="51" t="s">
        <v>199</v>
      </c>
    </row>
    <row r="19" spans="1:3" x14ac:dyDescent="0.25">
      <c r="A19" s="11" t="s">
        <v>50</v>
      </c>
      <c r="B19" s="14">
        <v>0.33</v>
      </c>
      <c r="C19" s="51" t="s">
        <v>200</v>
      </c>
    </row>
    <row r="20" spans="1:3" x14ac:dyDescent="0.25">
      <c r="A20" s="11" t="s">
        <v>52</v>
      </c>
      <c r="B20" s="16">
        <v>7</v>
      </c>
      <c r="C20" s="51" t="s">
        <v>201</v>
      </c>
    </row>
    <row r="21" spans="1:3" x14ac:dyDescent="0.25">
      <c r="A21" s="11" t="s">
        <v>54</v>
      </c>
      <c r="B21" s="14">
        <v>0.2</v>
      </c>
      <c r="C21" s="51" t="s">
        <v>202</v>
      </c>
    </row>
    <row r="22" spans="1:3" x14ac:dyDescent="0.25">
      <c r="A22" s="11" t="s">
        <v>56</v>
      </c>
      <c r="B22" s="35" t="s">
        <v>203</v>
      </c>
      <c r="C22" s="51" t="s">
        <v>204</v>
      </c>
    </row>
    <row r="23" spans="1:3" x14ac:dyDescent="0.25">
      <c r="A23" s="11" t="s">
        <v>59</v>
      </c>
      <c r="B23" s="14">
        <v>0.55</v>
      </c>
      <c r="C23" s="51" t="s">
        <v>205</v>
      </c>
    </row>
    <row r="25" spans="1:3" x14ac:dyDescent="0.25">
      <c r="A25" s="18" t="s">
        <v>206</v>
      </c>
      <c r="B25" s="35"/>
      <c r="C25" s="51"/>
    </row>
    <row r="26" spans="1:3" x14ac:dyDescent="0.25">
      <c r="A26" s="11" t="s">
        <v>192</v>
      </c>
      <c r="B26" s="13">
        <v>254.7374761385326</v>
      </c>
      <c r="C26" s="51"/>
    </row>
    <row r="27" spans="1:3" x14ac:dyDescent="0.25">
      <c r="A27" s="11" t="s">
        <v>187</v>
      </c>
      <c r="B27" s="14">
        <v>-0.7543870451347128</v>
      </c>
      <c r="C27" s="51"/>
    </row>
    <row r="28" spans="1:3" x14ac:dyDescent="0.25">
      <c r="A28" s="11" t="s">
        <v>207</v>
      </c>
      <c r="B28" s="35"/>
      <c r="C28" s="51"/>
    </row>
    <row r="29" spans="1:3" s="17" customFormat="1" x14ac:dyDescent="0.25">
      <c r="A29" s="18" t="s">
        <v>194</v>
      </c>
      <c r="B29" s="55" t="s">
        <v>96</v>
      </c>
      <c r="C29" s="56" t="s">
        <v>99</v>
      </c>
    </row>
    <row r="30" spans="1:3" x14ac:dyDescent="0.25">
      <c r="A30" s="11" t="s">
        <v>40</v>
      </c>
      <c r="B30" s="14">
        <v>0.12</v>
      </c>
      <c r="C30" s="51" t="s">
        <v>208</v>
      </c>
    </row>
    <row r="31" spans="1:3" x14ac:dyDescent="0.25">
      <c r="A31" s="11" t="s">
        <v>42</v>
      </c>
      <c r="B31" s="14">
        <v>0.032</v>
      </c>
      <c r="C31" s="51" t="s">
        <v>209</v>
      </c>
    </row>
    <row r="32" spans="1:3" x14ac:dyDescent="0.25">
      <c r="A32" s="11" t="s">
        <v>44</v>
      </c>
      <c r="B32" s="16">
        <v>8</v>
      </c>
      <c r="C32" s="51" t="s">
        <v>210</v>
      </c>
    </row>
    <row r="33" spans="1:3" x14ac:dyDescent="0.25">
      <c r="A33" s="11" t="s">
        <v>46</v>
      </c>
      <c r="B33" s="16">
        <v>0.85</v>
      </c>
      <c r="C33" s="51" t="s">
        <v>211</v>
      </c>
    </row>
    <row r="34" spans="1:3" x14ac:dyDescent="0.25">
      <c r="A34" s="11" t="s">
        <v>48</v>
      </c>
      <c r="B34" s="14">
        <v>0.21</v>
      </c>
      <c r="C34" s="51" t="s">
        <v>212</v>
      </c>
    </row>
    <row r="35" spans="1:3" x14ac:dyDescent="0.25">
      <c r="A35" s="11" t="s">
        <v>50</v>
      </c>
      <c r="B35" s="14">
        <v>0.26</v>
      </c>
      <c r="C35" s="51" t="s">
        <v>213</v>
      </c>
    </row>
    <row r="36" spans="1:3" x14ac:dyDescent="0.25">
      <c r="A36" s="11" t="s">
        <v>52</v>
      </c>
      <c r="B36" s="16">
        <v>5</v>
      </c>
      <c r="C36" s="51" t="s">
        <v>214</v>
      </c>
    </row>
    <row r="37" spans="1:3" x14ac:dyDescent="0.25">
      <c r="A37" s="11" t="s">
        <v>54</v>
      </c>
      <c r="B37" s="14">
        <v>0.14</v>
      </c>
      <c r="C37" s="51" t="s">
        <v>215</v>
      </c>
    </row>
    <row r="38" spans="1:3" x14ac:dyDescent="0.25">
      <c r="A38" s="11" t="s">
        <v>56</v>
      </c>
      <c r="B38" s="35" t="s">
        <v>216</v>
      </c>
      <c r="C38" s="51" t="s">
        <v>217</v>
      </c>
    </row>
    <row r="39" spans="1:3" x14ac:dyDescent="0.25">
      <c r="A39" s="11" t="s">
        <v>59</v>
      </c>
      <c r="B39" s="14">
        <v>0.45</v>
      </c>
      <c r="C39" s="51" t="s">
        <v>218</v>
      </c>
    </row>
  </sheetData>
  <pageMargins left="0.7" right="0.7" top="0.75" bottom="0.75" header="0.3" footer="0.3"/>
  <pageSetup orientation="portrait" horizontalDpi="4294967295" verticalDpi="4294967295" scale="100" fitToWidth="1" fitToHeigh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howGridLines="0"/>
  </sheetViews>
  <sheetFormatPr defaultRowHeight="15" outlineLevelRow="0" outlineLevelCol="0" x14ac:dyDescent="55"/>
  <cols>
    <col min="1" max="1" width="25" style="6" customWidth="1"/>
    <col min="2" max="9" width="15" style="7" customWidth="1"/>
  </cols>
  <sheetData>
    <row r="1" spans="1:9" s="8" customFormat="1" x14ac:dyDescent="0.25">
      <c r="A1" s="9" t="s">
        <v>219</v>
      </c>
      <c r="B1" s="10"/>
      <c r="C1" s="10"/>
      <c r="D1" s="10"/>
      <c r="E1" s="10"/>
      <c r="F1" s="10"/>
      <c r="G1" s="10"/>
      <c r="H1" s="10"/>
      <c r="I1" s="10"/>
    </row>
    <row r="2" spans="1:9" x14ac:dyDescent="0.25">
      <c r="A2" s="11" t="s">
        <v>10</v>
      </c>
      <c r="B2" s="12"/>
      <c r="C2" s="12"/>
      <c r="D2" s="12"/>
      <c r="E2" s="12"/>
      <c r="F2" s="12"/>
      <c r="G2" s="12"/>
      <c r="H2" s="12"/>
      <c r="I2" s="12"/>
    </row>
    <row r="4" spans="1:9" x14ac:dyDescent="0.25">
      <c r="A4" s="21" t="s">
        <v>220</v>
      </c>
      <c r="B4" s="57">
        <v>0.004</v>
      </c>
      <c r="C4" s="57">
        <v>0.009</v>
      </c>
      <c r="D4" s="57">
        <v>0.014</v>
      </c>
      <c r="E4" s="57">
        <v>0.019</v>
      </c>
      <c r="F4" s="57">
        <v>0.024</v>
      </c>
      <c r="G4" s="57">
        <v>0.029</v>
      </c>
      <c r="H4" s="57">
        <v>0.034</v>
      </c>
      <c r="I4" s="57">
        <v>0.039</v>
      </c>
    </row>
    <row r="5" spans="1:9" x14ac:dyDescent="0.25">
      <c r="A5" s="58">
        <v>0.0415</v>
      </c>
      <c r="B5" s="59">
        <v>876.9561414183287</v>
      </c>
      <c r="C5" s="59">
        <v>978.8258116078915</v>
      </c>
      <c r="D5" s="60">
        <v>1117.171530759403</v>
      </c>
      <c r="E5" s="60">
        <v>1316.290547100857</v>
      </c>
      <c r="F5" s="60">
        <v>1628.247917118691</v>
      </c>
      <c r="G5" s="60">
        <v>2188.412114483819</v>
      </c>
      <c r="H5" s="60">
        <v>3493.133074600637</v>
      </c>
      <c r="I5" s="60">
        <v>10009.55677349949</v>
      </c>
    </row>
    <row r="6" spans="1:9" x14ac:dyDescent="0.25">
      <c r="A6" s="58">
        <v>0.0515</v>
      </c>
      <c r="B6" s="59">
        <v>670.9828656213163</v>
      </c>
      <c r="C6" s="59">
        <v>725.9944305399274</v>
      </c>
      <c r="D6" s="59">
        <v>795.2941260011098</v>
      </c>
      <c r="E6" s="59">
        <v>885.4636948857598</v>
      </c>
      <c r="F6" s="59">
        <v>1007.871324557202</v>
      </c>
      <c r="G6" s="60">
        <v>1183.989914638719</v>
      </c>
      <c r="H6" s="60">
        <v>1459.832375234918</v>
      </c>
      <c r="I6" s="60">
        <v>1955.031640839501</v>
      </c>
    </row>
    <row r="7" spans="1:9" x14ac:dyDescent="0.25">
      <c r="A7" s="58">
        <v>0.0615</v>
      </c>
      <c r="B7" s="59">
        <v>537.9020701832662</v>
      </c>
      <c r="C7" s="59">
        <v>570.7692693819503</v>
      </c>
      <c r="D7" s="59">
        <v>610.2793789396648</v>
      </c>
      <c r="E7" s="59">
        <v>658.7679820808866</v>
      </c>
      <c r="F7" s="59">
        <v>719.816119459719</v>
      </c>
      <c r="G7" s="59">
        <v>799.2083308763282</v>
      </c>
      <c r="H7" s="59">
        <v>906.9358333926535</v>
      </c>
      <c r="I7" s="60">
        <v>1061.870603579499</v>
      </c>
    </row>
    <row r="8" spans="1:9" x14ac:dyDescent="0.25">
      <c r="A8" s="58">
        <v>0.0715</v>
      </c>
      <c r="B8" s="59">
        <v>445.2356483542496</v>
      </c>
      <c r="C8" s="59">
        <v>466.2170638206723</v>
      </c>
      <c r="D8" s="59">
        <v>490.6376345897017</v>
      </c>
      <c r="E8" s="59">
        <v>519.4733007357227</v>
      </c>
      <c r="F8" s="59">
        <v>554.1107888177772</v>
      </c>
      <c r="G8" s="59">
        <v>596.5892492591075</v>
      </c>
      <c r="H8" s="59">
        <v>650.0352036177545</v>
      </c>
      <c r="I8" s="59">
        <v>719.4989816308378</v>
      </c>
    </row>
    <row r="9" spans="1:9" x14ac:dyDescent="0.25">
      <c r="A9" s="58">
        <v>0.0815</v>
      </c>
      <c r="B9" s="59">
        <v>377.2745393625312</v>
      </c>
      <c r="C9" s="59">
        <v>391.3048675694114</v>
      </c>
      <c r="D9" s="59">
        <v>407.2495066300352</v>
      </c>
      <c r="E9" s="59">
        <v>425.5627337566623</v>
      </c>
      <c r="F9" s="59">
        <v>446.8567325550355</v>
      </c>
      <c r="G9" s="59">
        <v>471.9767852576222</v>
      </c>
      <c r="H9" s="59">
        <v>502.1239547792437</v>
      </c>
      <c r="I9" s="59">
        <v>539.0643658605501</v>
      </c>
    </row>
    <row r="10" spans="1:9" x14ac:dyDescent="0.25">
      <c r="A10" s="58">
        <v>0.0915</v>
      </c>
      <c r="B10" s="59">
        <v>325.4958921843013</v>
      </c>
      <c r="C10" s="59">
        <v>335.2023781833228</v>
      </c>
      <c r="D10" s="59">
        <v>346.0297244006617</v>
      </c>
      <c r="E10" s="59">
        <v>358.2057407442337</v>
      </c>
      <c r="F10" s="59">
        <v>372.025655532801</v>
      </c>
      <c r="G10" s="59">
        <v>387.8790818648146</v>
      </c>
      <c r="H10" s="59">
        <v>406.2910533901418</v>
      </c>
      <c r="I10" s="59">
        <v>427.986509086576</v>
      </c>
    </row>
    <row r="11" spans="1:9" x14ac:dyDescent="0.25">
      <c r="A11" s="58">
        <v>0.1015</v>
      </c>
      <c r="B11" s="59">
        <v>284.8774087901429</v>
      </c>
      <c r="C11" s="59">
        <v>291.7665856187286</v>
      </c>
      <c r="D11" s="59">
        <v>299.3358158212242</v>
      </c>
      <c r="E11" s="59">
        <v>307.7054329823686</v>
      </c>
      <c r="F11" s="59">
        <v>317.0267596702043</v>
      </c>
      <c r="G11" s="59">
        <v>327.4927925018305</v>
      </c>
      <c r="H11" s="59">
        <v>339.3536361218154</v>
      </c>
      <c r="I11" s="59">
        <v>352.9393454843427</v>
      </c>
    </row>
    <row r="12" spans="1:9" x14ac:dyDescent="0.25">
      <c r="A12" s="58">
        <v>0.1115</v>
      </c>
      <c r="B12" s="59">
        <v>252.2688379154605</v>
      </c>
      <c r="C12" s="59">
        <v>257.2549573062261</v>
      </c>
      <c r="D12" s="59">
        <v>262.6637907823666</v>
      </c>
      <c r="E12" s="59">
        <v>268.5611632524991</v>
      </c>
      <c r="F12" s="59">
        <v>275.0278923715678</v>
      </c>
      <c r="G12" s="59">
        <v>282.1643311568432</v>
      </c>
      <c r="H12" s="59">
        <v>290.0966690315456</v>
      </c>
      <c r="I12" s="59">
        <v>298.9858401921687</v>
      </c>
    </row>
    <row r="13" spans="1:9" x14ac:dyDescent="0.25">
      <c r="A13" s="58">
        <v>0.1215</v>
      </c>
      <c r="B13" s="59">
        <v>225.5950787701796</v>
      </c>
      <c r="C13" s="59">
        <v>229.2582886937817</v>
      </c>
      <c r="D13" s="59">
        <v>233.1881234094498</v>
      </c>
      <c r="E13" s="59">
        <v>237.4213341097401</v>
      </c>
      <c r="F13" s="59">
        <v>242.0021668571245</v>
      </c>
      <c r="G13" s="59">
        <v>246.984387697525</v>
      </c>
      <c r="H13" s="59">
        <v>252.4340020949101</v>
      </c>
      <c r="I13" s="59">
        <v>258.4329632473946</v>
      </c>
    </row>
    <row r="14" spans="1:9" x14ac:dyDescent="0.25">
      <c r="A14" s="58">
        <v>0.1315</v>
      </c>
      <c r="B14" s="59">
        <v>203.4343212017199</v>
      </c>
      <c r="C14" s="59">
        <v>206.1562644268154</v>
      </c>
      <c r="D14" s="59">
        <v>209.0472990373243</v>
      </c>
      <c r="E14" s="59">
        <v>212.1280638011573</v>
      </c>
      <c r="F14" s="59">
        <v>215.4230005517458</v>
      </c>
      <c r="G14" s="59">
        <v>218.9612813259434</v>
      </c>
      <c r="H14" s="59">
        <v>222.7780207721654</v>
      </c>
      <c r="I14" s="59">
        <v>226.915881768845</v>
      </c>
    </row>
    <row r="16" spans="1:9" s="61" customFormat="1" x14ac:dyDescent="0.25">
      <c r="A16" s="62" t="s">
        <v>221</v>
      </c>
      <c r="B16" s="63"/>
      <c r="C16" s="63"/>
      <c r="D16" s="63"/>
      <c r="E16" s="63"/>
      <c r="F16" s="63"/>
      <c r="G16" s="63"/>
      <c r="H16" s="63"/>
      <c r="I16" s="63"/>
    </row>
  </sheetData>
  <pageMargins left="0.7" right="0.7" top="0.75" bottom="0.75" header="0.3" footer="0.3"/>
  <pageSetup orientation="portrait" horizontalDpi="4294967295" verticalDpi="4294967295" scale="100" fitToWidth="1" fitToHeight="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howGridLines="0"/>
  </sheetViews>
  <sheetFormatPr defaultRowHeight="15" outlineLevelRow="0" outlineLevelCol="0" x14ac:dyDescent="55"/>
  <cols>
    <col min="1" max="1" width="25" style="6" customWidth="1"/>
    <col min="2" max="4" width="15" style="64" customWidth="1"/>
  </cols>
  <sheetData>
    <row r="1" spans="1:4" s="8" customFormat="1" x14ac:dyDescent="0.25">
      <c r="A1" s="9" t="s">
        <v>222</v>
      </c>
      <c r="B1" s="65"/>
      <c r="C1" s="65"/>
      <c r="D1" s="65"/>
    </row>
    <row r="2" spans="1:4" x14ac:dyDescent="0.25">
      <c r="A2" s="11" t="s">
        <v>10</v>
      </c>
      <c r="B2" s="66"/>
      <c r="C2" s="66"/>
      <c r="D2" s="66"/>
    </row>
    <row r="4" spans="1:4" x14ac:dyDescent="0.25">
      <c r="A4" s="11" t="s">
        <v>20</v>
      </c>
      <c r="B4" s="14">
        <v>0.05823373660445215</v>
      </c>
      <c r="C4" s="66" t="s">
        <v>62</v>
      </c>
      <c r="D4" s="66" t="s">
        <v>62</v>
      </c>
    </row>
    <row r="6" spans="1:4" s="32" customFormat="1" x14ac:dyDescent="0.25">
      <c r="A6" s="21" t="s">
        <v>223</v>
      </c>
      <c r="B6" s="67" t="s">
        <v>224</v>
      </c>
      <c r="C6" s="67" t="s">
        <v>225</v>
      </c>
      <c r="D6" s="67" t="s">
        <v>226</v>
      </c>
    </row>
    <row r="7" spans="1:4" x14ac:dyDescent="0.25">
      <c r="A7" s="11" t="s">
        <v>40</v>
      </c>
      <c r="B7" s="14">
        <v>0.17</v>
      </c>
      <c r="C7" s="14">
        <v>0.2151421197882725</v>
      </c>
      <c r="D7" s="14">
        <v>0.04514211978827248</v>
      </c>
    </row>
    <row r="8" spans="1:4" x14ac:dyDescent="0.25">
      <c r="A8" s="11" t="s">
        <v>48</v>
      </c>
      <c r="B8" s="14">
        <v>0.26</v>
      </c>
      <c r="C8" s="14">
        <v>0.3290408890879462</v>
      </c>
      <c r="D8" s="14">
        <v>0.0690408890879462</v>
      </c>
    </row>
    <row r="9" spans="1:4" x14ac:dyDescent="0.25">
      <c r="A9" s="11" t="s">
        <v>44</v>
      </c>
      <c r="B9" s="68">
        <v>10</v>
      </c>
      <c r="C9" s="68">
        <v>12.65541881107485</v>
      </c>
      <c r="D9" s="68">
        <v>2.655418811074849</v>
      </c>
    </row>
    <row r="11" spans="1:4" s="17" customFormat="1" x14ac:dyDescent="0.25">
      <c r="A11" s="18" t="s">
        <v>227</v>
      </c>
      <c r="B11" s="69"/>
      <c r="C11" s="69"/>
      <c r="D11" s="69"/>
    </row>
    <row r="12" spans="1:4" s="32" customFormat="1" x14ac:dyDescent="0.25">
      <c r="A12" s="21" t="s">
        <v>228</v>
      </c>
      <c r="B12" s="67" t="s">
        <v>229</v>
      </c>
      <c r="C12" s="70"/>
      <c r="D12" s="70"/>
    </row>
    <row r="13" spans="1:4" x14ac:dyDescent="0.25">
      <c r="A13" s="11" t="s">
        <v>230</v>
      </c>
      <c r="B13" s="71">
        <v>215.1556909892156</v>
      </c>
      <c r="C13" s="66"/>
      <c r="D13" s="66"/>
    </row>
    <row r="14" spans="1:4" x14ac:dyDescent="0.25">
      <c r="A14" s="11" t="s">
        <v>231</v>
      </c>
      <c r="B14" s="71">
        <v>325.0276476462652</v>
      </c>
      <c r="C14" s="66"/>
      <c r="D14" s="66"/>
    </row>
    <row r="15" spans="1:4" x14ac:dyDescent="0.25">
      <c r="A15" s="11" t="s">
        <v>148</v>
      </c>
      <c r="B15" s="72">
        <v>354.7904493931983</v>
      </c>
      <c r="C15" s="66"/>
      <c r="D15" s="66"/>
    </row>
    <row r="16" spans="1:4" x14ac:dyDescent="0.25">
      <c r="A16" s="11" t="s">
        <v>232</v>
      </c>
      <c r="B16" s="72">
        <v>375.1692257454673</v>
      </c>
      <c r="C16" s="66"/>
      <c r="D16" s="66"/>
    </row>
    <row r="17" spans="1:4" x14ac:dyDescent="0.25">
      <c r="A17" s="11" t="s">
        <v>233</v>
      </c>
      <c r="B17" s="72">
        <v>393.3296627586756</v>
      </c>
      <c r="C17" s="66"/>
      <c r="D17" s="66"/>
    </row>
    <row r="18" spans="1:4" x14ac:dyDescent="0.25">
      <c r="A18" s="11" t="s">
        <v>149</v>
      </c>
      <c r="B18" s="73">
        <v>410.5376031486791</v>
      </c>
      <c r="C18" s="66"/>
      <c r="D18" s="66"/>
    </row>
    <row r="19" spans="1:4" x14ac:dyDescent="0.25">
      <c r="A19" s="11" t="s">
        <v>234</v>
      </c>
      <c r="B19" s="73">
        <v>426.6070755923405</v>
      </c>
      <c r="C19" s="66"/>
      <c r="D19" s="66"/>
    </row>
    <row r="20" spans="1:4" x14ac:dyDescent="0.25">
      <c r="A20" s="11" t="s">
        <v>235</v>
      </c>
      <c r="B20" s="73">
        <v>441.4603354389841</v>
      </c>
      <c r="C20" s="66"/>
      <c r="D20" s="66"/>
    </row>
    <row r="21" spans="1:4" x14ac:dyDescent="0.25">
      <c r="A21" s="11" t="s">
        <v>236</v>
      </c>
      <c r="B21" s="73">
        <v>456.1522126372857</v>
      </c>
      <c r="C21" s="66"/>
      <c r="D21" s="66"/>
    </row>
    <row r="22" spans="1:4" x14ac:dyDescent="0.25">
      <c r="A22" s="11" t="s">
        <v>237</v>
      </c>
      <c r="B22" s="73">
        <v>472.6756036205595</v>
      </c>
      <c r="C22" s="66"/>
      <c r="D22" s="66"/>
    </row>
    <row r="23" spans="1:4" x14ac:dyDescent="0.25">
      <c r="A23" s="11" t="s">
        <v>150</v>
      </c>
      <c r="B23" s="73">
        <v>489.4687014033782</v>
      </c>
      <c r="C23" s="66"/>
      <c r="D23" s="66"/>
    </row>
    <row r="24" spans="1:4" x14ac:dyDescent="0.25">
      <c r="A24" s="11" t="s">
        <v>238</v>
      </c>
      <c r="B24" s="73">
        <v>506.0514298685303</v>
      </c>
      <c r="C24" s="66"/>
      <c r="D24" s="66"/>
    </row>
    <row r="25" spans="1:4" x14ac:dyDescent="0.25">
      <c r="A25" s="11" t="s">
        <v>239</v>
      </c>
      <c r="B25" s="73">
        <v>522.3924415924167</v>
      </c>
      <c r="C25" s="66"/>
      <c r="D25" s="66"/>
    </row>
    <row r="26" spans="1:4" x14ac:dyDescent="0.25">
      <c r="A26" s="11" t="s">
        <v>240</v>
      </c>
      <c r="B26" s="73">
        <v>540.3449987404243</v>
      </c>
      <c r="C26" s="66"/>
      <c r="D26" s="66"/>
    </row>
    <row r="27" spans="1:4" x14ac:dyDescent="0.25">
      <c r="A27" s="11" t="s">
        <v>241</v>
      </c>
      <c r="B27" s="73">
        <v>560.656144749718</v>
      </c>
      <c r="C27" s="66"/>
      <c r="D27" s="66"/>
    </row>
    <row r="28" spans="1:4" x14ac:dyDescent="0.25">
      <c r="A28" s="11" t="s">
        <v>151</v>
      </c>
      <c r="B28" s="74">
        <v>583.7716124812501</v>
      </c>
      <c r="C28" s="66"/>
      <c r="D28" s="66"/>
    </row>
    <row r="29" spans="1:4" x14ac:dyDescent="0.25">
      <c r="A29" s="11" t="s">
        <v>242</v>
      </c>
      <c r="B29" s="74">
        <v>611.4391477761689</v>
      </c>
      <c r="C29" s="66"/>
      <c r="D29" s="66"/>
    </row>
    <row r="30" spans="1:4" x14ac:dyDescent="0.25">
      <c r="A30" s="11" t="s">
        <v>243</v>
      </c>
      <c r="B30" s="74">
        <v>644.1123201019889</v>
      </c>
      <c r="C30" s="66"/>
      <c r="D30" s="66"/>
    </row>
    <row r="31" spans="1:4" x14ac:dyDescent="0.25">
      <c r="A31" s="11" t="s">
        <v>152</v>
      </c>
      <c r="B31" s="75">
        <v>688.0110925143972</v>
      </c>
      <c r="C31" s="66"/>
      <c r="D31" s="66"/>
    </row>
    <row r="32" spans="1:4" x14ac:dyDescent="0.25">
      <c r="A32" s="11" t="s">
        <v>244</v>
      </c>
      <c r="B32" s="75">
        <v>760.0370194923379</v>
      </c>
      <c r="C32" s="66"/>
      <c r="D32" s="66"/>
    </row>
    <row r="33" spans="1:4" x14ac:dyDescent="0.25">
      <c r="A33" s="11" t="s">
        <v>245</v>
      </c>
      <c r="B33" s="75">
        <v>1237.5272328823</v>
      </c>
      <c r="C33" s="66"/>
      <c r="D33" s="66"/>
    </row>
    <row r="34" spans="1:4" x14ac:dyDescent="0.25">
      <c r="A34" s="76" t="s">
        <v>246</v>
      </c>
      <c r="B34" s="66"/>
      <c r="C34" s="66"/>
      <c r="D34" s="66"/>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howGridLines="0"/>
  </sheetViews>
  <sheetFormatPr defaultRowHeight="15" outlineLevelRow="0" outlineLevelCol="0" x14ac:dyDescent="55"/>
  <cols>
    <col min="1" max="1" width="30" style="6" customWidth="1"/>
    <col min="2" max="2" width="50" style="7" customWidth="1"/>
  </cols>
  <sheetData>
    <row r="1" spans="1:2" s="8" customFormat="1" x14ac:dyDescent="0.25">
      <c r="A1" s="9" t="s">
        <v>9</v>
      </c>
      <c r="B1" s="10"/>
    </row>
    <row r="2" spans="1:2" x14ac:dyDescent="0.25">
      <c r="A2" s="11" t="s">
        <v>10</v>
      </c>
      <c r="B2" s="12"/>
    </row>
    <row r="4" spans="1:2" x14ac:dyDescent="0.25">
      <c r="A4" s="11" t="s">
        <v>11</v>
      </c>
      <c r="B4" s="12" t="s">
        <v>12</v>
      </c>
    </row>
    <row r="5" spans="1:2" x14ac:dyDescent="0.25">
      <c r="A5" s="11" t="s">
        <v>13</v>
      </c>
      <c r="B5" s="12" t="s">
        <v>14</v>
      </c>
    </row>
    <row r="6" spans="1:2" x14ac:dyDescent="0.25">
      <c r="A6" s="11" t="s">
        <v>15</v>
      </c>
      <c r="B6" s="12" t="s">
        <v>16</v>
      </c>
    </row>
    <row r="7" spans="1:2" x14ac:dyDescent="0.25">
      <c r="A7" s="11" t="s">
        <v>17</v>
      </c>
      <c r="B7" s="13">
        <v>1037.15</v>
      </c>
    </row>
    <row r="8" spans="1:2" x14ac:dyDescent="0.25">
      <c r="A8" s="11" t="s">
        <v>18</v>
      </c>
      <c r="B8" s="13">
        <v>501.9780001215847</v>
      </c>
    </row>
    <row r="9" spans="1:2" x14ac:dyDescent="0.25">
      <c r="A9" s="11" t="s">
        <v>19</v>
      </c>
      <c r="B9" s="14">
        <v>-0.5160025067525578</v>
      </c>
    </row>
    <row r="10" spans="1:2" x14ac:dyDescent="0.25">
      <c r="A10" s="11" t="s">
        <v>20</v>
      </c>
      <c r="B10" s="14">
        <v>0.05823373660445215</v>
      </c>
    </row>
    <row r="11" spans="1:2" x14ac:dyDescent="0.25">
      <c r="A11" s="11" t="s">
        <v>21</v>
      </c>
      <c r="B11" s="12" t="s">
        <v>22</v>
      </c>
    </row>
    <row r="12" spans="1:2" x14ac:dyDescent="0.25">
      <c r="A12" s="11" t="s">
        <v>23</v>
      </c>
      <c r="B12" s="15">
        <v>46055.34960385416</v>
      </c>
    </row>
    <row r="13" spans="1:2" x14ac:dyDescent="0.25">
      <c r="A13" s="11" t="s">
        <v>24</v>
      </c>
      <c r="B13" s="15">
        <v>45657</v>
      </c>
    </row>
    <row r="14" spans="1:2" x14ac:dyDescent="0.25">
      <c r="A14" s="11" t="s">
        <v>25</v>
      </c>
      <c r="B14" s="12" t="s">
        <v>26</v>
      </c>
    </row>
    <row r="15" spans="1:2" x14ac:dyDescent="0.25">
      <c r="A15" s="11" t="s">
        <v>27</v>
      </c>
      <c r="B15" s="12" t="s">
        <v>28</v>
      </c>
    </row>
    <row r="16" spans="1:2" x14ac:dyDescent="0.25">
      <c r="A16" s="11" t="s">
        <v>29</v>
      </c>
      <c r="B16" s="12" t="s">
        <v>30</v>
      </c>
    </row>
    <row r="17" spans="1:2" x14ac:dyDescent="0.25">
      <c r="A17" s="11" t="s">
        <v>31</v>
      </c>
      <c r="B17" s="12" t="s">
        <v>32</v>
      </c>
    </row>
    <row r="18" spans="1:2" x14ac:dyDescent="0.25">
      <c r="A18" s="11" t="s">
        <v>33</v>
      </c>
      <c r="B18" s="12" t="s">
        <v>34</v>
      </c>
    </row>
    <row r="19" spans="1:2" x14ac:dyDescent="0.25">
      <c r="A19" s="11" t="s">
        <v>35</v>
      </c>
      <c r="B19" s="16">
        <v>929760.1493770002</v>
      </c>
    </row>
    <row r="20" spans="1:2" x14ac:dyDescent="0.25">
      <c r="A20" s="11" t="s">
        <v>36</v>
      </c>
      <c r="B20" s="16">
        <v>896.45678</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howGridLines="0"/>
  </sheetViews>
  <sheetFormatPr defaultRowHeight="15" outlineLevelRow="0" outlineLevelCol="0" x14ac:dyDescent="55"/>
  <cols>
    <col min="1" max="1" width="30" style="6" customWidth="1"/>
    <col min="2" max="2" width="15" style="7" customWidth="1"/>
    <col min="3" max="3" width="60" style="6" customWidth="1"/>
  </cols>
  <sheetData>
    <row r="1" spans="1:3" s="8" customFormat="1" x14ac:dyDescent="0.25">
      <c r="A1" s="9" t="s">
        <v>37</v>
      </c>
      <c r="B1" s="10"/>
      <c r="C1" s="9"/>
    </row>
    <row r="2" spans="1:3" x14ac:dyDescent="0.25">
      <c r="A2" s="11" t="s">
        <v>10</v>
      </c>
      <c r="B2" s="12"/>
      <c r="C2" s="11"/>
    </row>
    <row r="4" spans="1:3" s="17" customFormat="1" x14ac:dyDescent="0.25">
      <c r="A4" s="18" t="s">
        <v>38</v>
      </c>
      <c r="B4" s="18"/>
      <c r="C4" s="18"/>
    </row>
    <row r="5" spans="1:3" x14ac:dyDescent="0.25">
      <c r="A5" s="11" t="s">
        <v>39</v>
      </c>
      <c r="B5" s="11"/>
      <c r="C5" s="11"/>
    </row>
    <row r="7" spans="1:3" s="17" customFormat="1" x14ac:dyDescent="0.25">
      <c r="A7" s="18" t="s">
        <v>37</v>
      </c>
      <c r="B7" s="18"/>
      <c r="C7" s="18"/>
    </row>
    <row r="8" spans="1:3" x14ac:dyDescent="0.25">
      <c r="A8" s="11" t="s">
        <v>40</v>
      </c>
      <c r="B8" s="19">
        <v>0.17</v>
      </c>
      <c r="C8" s="11" t="s">
        <v>41</v>
      </c>
    </row>
    <row r="9" spans="1:3" x14ac:dyDescent="0.25">
      <c r="A9" s="11" t="s">
        <v>42</v>
      </c>
      <c r="B9" s="19">
        <v>0.034</v>
      </c>
      <c r="C9" s="11" t="s">
        <v>43</v>
      </c>
    </row>
    <row r="10" spans="1:3" x14ac:dyDescent="0.25">
      <c r="A10" s="11" t="s">
        <v>44</v>
      </c>
      <c r="B10" s="20">
        <v>10</v>
      </c>
      <c r="C10" s="11" t="s">
        <v>45</v>
      </c>
    </row>
    <row r="11" spans="1:3" x14ac:dyDescent="0.25">
      <c r="A11" s="11" t="s">
        <v>46</v>
      </c>
      <c r="B11" s="20">
        <v>1</v>
      </c>
      <c r="C11" s="11" t="s">
        <v>47</v>
      </c>
    </row>
    <row r="12" spans="1:3" x14ac:dyDescent="0.25">
      <c r="A12" s="11" t="s">
        <v>48</v>
      </c>
      <c r="B12" s="19">
        <v>0.26</v>
      </c>
      <c r="C12" s="11" t="s">
        <v>49</v>
      </c>
    </row>
    <row r="13" spans="1:3" x14ac:dyDescent="0.25">
      <c r="A13" s="11" t="s">
        <v>50</v>
      </c>
      <c r="B13" s="19">
        <v>0.31</v>
      </c>
      <c r="C13" s="11" t="s">
        <v>51</v>
      </c>
    </row>
    <row r="14" spans="1:3" x14ac:dyDescent="0.25">
      <c r="A14" s="11" t="s">
        <v>52</v>
      </c>
      <c r="B14" s="20">
        <v>6</v>
      </c>
      <c r="C14" s="11" t="s">
        <v>53</v>
      </c>
    </row>
    <row r="15" spans="1:3" x14ac:dyDescent="0.25">
      <c r="A15" s="11" t="s">
        <v>54</v>
      </c>
      <c r="B15" s="19">
        <v>0.18</v>
      </c>
      <c r="C15" s="11" t="s">
        <v>55</v>
      </c>
    </row>
    <row r="16" spans="1:3" x14ac:dyDescent="0.25">
      <c r="A16" s="11" t="s">
        <v>56</v>
      </c>
      <c r="B16" s="12" t="s">
        <v>57</v>
      </c>
      <c r="C16" s="11" t="s">
        <v>58</v>
      </c>
    </row>
    <row r="17" spans="1:3" x14ac:dyDescent="0.25">
      <c r="A17" s="11" t="s">
        <v>59</v>
      </c>
      <c r="B17" s="19">
        <v>0.5</v>
      </c>
      <c r="C17" s="11" t="s">
        <v>60</v>
      </c>
    </row>
  </sheetData>
  <mergeCells count="3">
    <mergeCell ref="A4:C4"/>
    <mergeCell ref="A5:C5"/>
    <mergeCell ref="A7:C7"/>
  </mergeCell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workbookViewId="0" showGridLines="0"/>
  </sheetViews>
  <sheetFormatPr defaultRowHeight="15" outlineLevelRow="0" outlineLevelCol="0" x14ac:dyDescent="55"/>
  <cols>
    <col min="1" max="1" width="30" style="6" customWidth="1"/>
    <col min="2" max="23" width="15" style="7" customWidth="1"/>
  </cols>
  <sheetData>
    <row r="1" spans="1:23" s="8" customFormat="1" x14ac:dyDescent="0.25">
      <c r="A1" s="9" t="s">
        <v>61</v>
      </c>
      <c r="B1" s="10"/>
      <c r="C1" s="10"/>
      <c r="D1" s="10"/>
      <c r="E1" s="10"/>
      <c r="F1" s="10"/>
      <c r="G1" s="10"/>
      <c r="H1" s="10"/>
      <c r="I1" s="10"/>
      <c r="J1" s="10"/>
      <c r="K1" s="10"/>
      <c r="L1" s="10"/>
      <c r="M1" s="10"/>
      <c r="N1" s="10"/>
      <c r="O1" s="10"/>
      <c r="P1" s="10"/>
      <c r="Q1" s="10"/>
      <c r="R1" s="10"/>
      <c r="S1" s="10"/>
      <c r="T1" s="10"/>
      <c r="U1" s="10"/>
      <c r="V1" s="10"/>
      <c r="W1" s="10"/>
    </row>
    <row r="2" spans="1:23" x14ac:dyDescent="0.25">
      <c r="A2" s="11" t="s">
        <v>10</v>
      </c>
      <c r="B2" s="12"/>
      <c r="C2" s="12"/>
      <c r="D2" s="12"/>
      <c r="E2" s="12"/>
      <c r="F2" s="12"/>
      <c r="G2" s="12"/>
      <c r="H2" s="12"/>
      <c r="I2" s="12"/>
      <c r="J2" s="12"/>
      <c r="K2" s="12"/>
      <c r="L2" s="12"/>
      <c r="M2" s="12"/>
      <c r="N2" s="12"/>
      <c r="O2" s="12"/>
      <c r="P2" s="12"/>
      <c r="Q2" s="12"/>
      <c r="R2" s="12"/>
      <c r="S2" s="12"/>
      <c r="T2" s="12"/>
      <c r="U2" s="12"/>
      <c r="V2" s="12"/>
      <c r="W2" s="12"/>
    </row>
    <row r="4" spans="1:23" x14ac:dyDescent="0.25">
      <c r="A4" s="21" t="s">
        <v>62</v>
      </c>
      <c r="B4" s="22" t="s">
        <v>63</v>
      </c>
      <c r="C4" s="23">
        <f>=IF(1&lt;=INDEX(Assumptions!B:B,MATCH("Years to stability",Assumptions!A:A,0)),"FY+1",IF(1=INDEX(Assumptions!B:B,MATCH("Years to stability",Assumptions!A:A,0))+1,"Stability",""))</f>
      </c>
      <c r="D4" s="23">
        <f>=IF(2&lt;=INDEX(Assumptions!B:B,MATCH("Years to stability",Assumptions!A:A,0)),"FY+2",IF(2=INDEX(Assumptions!B:B,MATCH("Years to stability",Assumptions!A:A,0))+1,"Stability",""))</f>
      </c>
      <c r="E4" s="23">
        <f>=IF(3&lt;=INDEX(Assumptions!B:B,MATCH("Years to stability",Assumptions!A:A,0)),"FY+3",IF(3=INDEX(Assumptions!B:B,MATCH("Years to stability",Assumptions!A:A,0))+1,"Stability",""))</f>
      </c>
      <c r="F4" s="23">
        <f>=IF(4&lt;=INDEX(Assumptions!B:B,MATCH("Years to stability",Assumptions!A:A,0)),"FY+4",IF(4=INDEX(Assumptions!B:B,MATCH("Years to stability",Assumptions!A:A,0))+1,"Stability",""))</f>
      </c>
      <c r="G4" s="23">
        <f>=IF(5&lt;=INDEX(Assumptions!B:B,MATCH("Years to stability",Assumptions!A:A,0)),"FY+5",IF(5=INDEX(Assumptions!B:B,MATCH("Years to stability",Assumptions!A:A,0))+1,"Stability",""))</f>
      </c>
      <c r="H4" s="23">
        <f>=IF(6&lt;=INDEX(Assumptions!B:B,MATCH("Years to stability",Assumptions!A:A,0)),"FY+6",IF(6=INDEX(Assumptions!B:B,MATCH("Years to stability",Assumptions!A:A,0))+1,"Stability",""))</f>
      </c>
      <c r="I4" s="23">
        <f>=IF(7&lt;=INDEX(Assumptions!B:B,MATCH("Years to stability",Assumptions!A:A,0)),"FY+7",IF(7=INDEX(Assumptions!B:B,MATCH("Years to stability",Assumptions!A:A,0))+1,"Stability",""))</f>
      </c>
      <c r="J4" s="23">
        <f>=IF(8&lt;=INDEX(Assumptions!B:B,MATCH("Years to stability",Assumptions!A:A,0)),"FY+8",IF(8=INDEX(Assumptions!B:B,MATCH("Years to stability",Assumptions!A:A,0))+1,"Stability",""))</f>
      </c>
      <c r="K4" s="23">
        <f>=IF(9&lt;=INDEX(Assumptions!B:B,MATCH("Years to stability",Assumptions!A:A,0)),"FY+9",IF(9=INDEX(Assumptions!B:B,MATCH("Years to stability",Assumptions!A:A,0))+1,"Stability",""))</f>
      </c>
      <c r="L4" s="23">
        <f>=IF(10&lt;=INDEX(Assumptions!B:B,MATCH("Years to stability",Assumptions!A:A,0)),"FY+10",IF(10=INDEX(Assumptions!B:B,MATCH("Years to stability",Assumptions!A:A,0))+1,"Stability",""))</f>
      </c>
      <c r="M4" s="23">
        <f>=IF(11&lt;=INDEX(Assumptions!B:B,MATCH("Years to stability",Assumptions!A:A,0)),"FY+11",IF(11=INDEX(Assumptions!B:B,MATCH("Years to stability",Assumptions!A:A,0))+1,"Stability",""))</f>
      </c>
      <c r="N4" s="23">
        <f>=IF(12&lt;=INDEX(Assumptions!B:B,MATCH("Years to stability",Assumptions!A:A,0)),"FY+12",IF(12=INDEX(Assumptions!B:B,MATCH("Years to stability",Assumptions!A:A,0))+1,"Stability",""))</f>
      </c>
      <c r="O4" s="23">
        <f>=IF(13&lt;=INDEX(Assumptions!B:B,MATCH("Years to stability",Assumptions!A:A,0)),"FY+13",IF(13=INDEX(Assumptions!B:B,MATCH("Years to stability",Assumptions!A:A,0))+1,"Stability",""))</f>
      </c>
      <c r="P4" s="23">
        <f>=IF(14&lt;=INDEX(Assumptions!B:B,MATCH("Years to stability",Assumptions!A:A,0)),"FY+14",IF(14=INDEX(Assumptions!B:B,MATCH("Years to stability",Assumptions!A:A,0))+1,"Stability",""))</f>
      </c>
      <c r="Q4" s="23">
        <f>=IF(15&lt;=INDEX(Assumptions!B:B,MATCH("Years to stability",Assumptions!A:A,0)),"FY+15",IF(15=INDEX(Assumptions!B:B,MATCH("Years to stability",Assumptions!A:A,0))+1,"Stability",""))</f>
      </c>
      <c r="R4" s="23">
        <f>=IF(16&lt;=INDEX(Assumptions!B:B,MATCH("Years to stability",Assumptions!A:A,0)),"FY+16",IF(16=INDEX(Assumptions!B:B,MATCH("Years to stability",Assumptions!A:A,0))+1,"Stability",""))</f>
      </c>
      <c r="S4" s="23">
        <f>=IF(17&lt;=INDEX(Assumptions!B:B,MATCH("Years to stability",Assumptions!A:A,0)),"FY+17",IF(17=INDEX(Assumptions!B:B,MATCH("Years to stability",Assumptions!A:A,0))+1,"Stability",""))</f>
      </c>
      <c r="T4" s="23">
        <f>=IF(18&lt;=INDEX(Assumptions!B:B,MATCH("Years to stability",Assumptions!A:A,0)),"FY+18",IF(18=INDEX(Assumptions!B:B,MATCH("Years to stability",Assumptions!A:A,0))+1,"Stability",""))</f>
      </c>
      <c r="U4" s="23">
        <f>=IF(19&lt;=INDEX(Assumptions!B:B,MATCH("Years to stability",Assumptions!A:A,0)),"FY+19",IF(19=INDEX(Assumptions!B:B,MATCH("Years to stability",Assumptions!A:A,0))+1,"Stability",""))</f>
      </c>
      <c r="V4" s="23">
        <f>=IF(20&lt;=INDEX(Assumptions!B:B,MATCH("Years to stability",Assumptions!A:A,0)),"FY+20",IF(20=INDEX(Assumptions!B:B,MATCH("Years to stability",Assumptions!A:A,0))+1,"Stability",""))</f>
      </c>
      <c r="W4" s="23">
        <f>=IF(21&lt;=INDEX(Assumptions!B:B,MATCH("Years to stability",Assumptions!A:A,0)),"FY+21",IF(21=INDEX(Assumptions!B:B,MATCH("Years to stability",Assumptions!A:A,0))+1,"Stability",""))</f>
      </c>
    </row>
    <row r="5" spans="1:23" x14ac:dyDescent="0.25">
      <c r="A5" s="11" t="s">
        <v>64</v>
      </c>
      <c r="B5" s="24">
        <f>=INDEX(Financials!B:B,MATCH("Revenue",Financials!A:A,0))</f>
      </c>
      <c r="C5" s="24">
        <f>=IF(1&lt;=INDEX(Assumptions!B:B,MATCH("Years to stability",Assumptions!A:A,0))+1,B5*(1+C6),"")</f>
      </c>
      <c r="D5" s="24">
        <f>=IF(2&lt;=INDEX(Assumptions!B:B,MATCH("Years to stability",Assumptions!A:A,0))+1,C5*(1+D6),"")</f>
      </c>
      <c r="E5" s="24">
        <f>=IF(3&lt;=INDEX(Assumptions!B:B,MATCH("Years to stability",Assumptions!A:A,0))+1,D5*(1+E6),"")</f>
      </c>
      <c r="F5" s="24">
        <f>=IF(4&lt;=INDEX(Assumptions!B:B,MATCH("Years to stability",Assumptions!A:A,0))+1,E5*(1+F6),"")</f>
      </c>
      <c r="G5" s="24">
        <f>=IF(5&lt;=INDEX(Assumptions!B:B,MATCH("Years to stability",Assumptions!A:A,0))+1,F5*(1+G6),"")</f>
      </c>
      <c r="H5" s="24">
        <f>=IF(6&lt;=INDEX(Assumptions!B:B,MATCH("Years to stability",Assumptions!A:A,0))+1,G5*(1+H6),"")</f>
      </c>
      <c r="I5" s="24">
        <f>=IF(7&lt;=INDEX(Assumptions!B:B,MATCH("Years to stability",Assumptions!A:A,0))+1,H5*(1+I6),"")</f>
      </c>
      <c r="J5" s="24">
        <f>=IF(8&lt;=INDEX(Assumptions!B:B,MATCH("Years to stability",Assumptions!A:A,0))+1,I5*(1+J6),"")</f>
      </c>
      <c r="K5" s="24">
        <f>=IF(9&lt;=INDEX(Assumptions!B:B,MATCH("Years to stability",Assumptions!A:A,0))+1,J5*(1+K6),"")</f>
      </c>
      <c r="L5" s="24">
        <f>=IF(10&lt;=INDEX(Assumptions!B:B,MATCH("Years to stability",Assumptions!A:A,0))+1,K5*(1+L6),"")</f>
      </c>
      <c r="M5" s="24">
        <f>=IF(11&lt;=INDEX(Assumptions!B:B,MATCH("Years to stability",Assumptions!A:A,0))+1,L5*(1+M6),"")</f>
      </c>
      <c r="N5" s="24">
        <f>=IF(12&lt;=INDEX(Assumptions!B:B,MATCH("Years to stability",Assumptions!A:A,0))+1,M5*(1+N6),"")</f>
      </c>
      <c r="O5" s="24">
        <f>=IF(13&lt;=INDEX(Assumptions!B:B,MATCH("Years to stability",Assumptions!A:A,0))+1,N5*(1+O6),"")</f>
      </c>
      <c r="P5" s="24">
        <f>=IF(14&lt;=INDEX(Assumptions!B:B,MATCH("Years to stability",Assumptions!A:A,0))+1,O5*(1+P6),"")</f>
      </c>
      <c r="Q5" s="24">
        <f>=IF(15&lt;=INDEX(Assumptions!B:B,MATCH("Years to stability",Assumptions!A:A,0))+1,P5*(1+Q6),"")</f>
      </c>
      <c r="R5" s="24">
        <f>=IF(16&lt;=INDEX(Assumptions!B:B,MATCH("Years to stability",Assumptions!A:A,0))+1,Q5*(1+R6),"")</f>
      </c>
      <c r="S5" s="24">
        <f>=IF(17&lt;=INDEX(Assumptions!B:B,MATCH("Years to stability",Assumptions!A:A,0))+1,R5*(1+S6),"")</f>
      </c>
      <c r="T5" s="24">
        <f>=IF(18&lt;=INDEX(Assumptions!B:B,MATCH("Years to stability",Assumptions!A:A,0))+1,S5*(1+T6),"")</f>
      </c>
      <c r="U5" s="24">
        <f>=IF(19&lt;=INDEX(Assumptions!B:B,MATCH("Years to stability",Assumptions!A:A,0))+1,T5*(1+U6),"")</f>
      </c>
      <c r="V5" s="24">
        <f>=IF(20&lt;=INDEX(Assumptions!B:B,MATCH("Years to stability",Assumptions!A:A,0))+1,U5*(1+V6),"")</f>
      </c>
      <c r="W5" s="24">
        <f>=IF(21&lt;=INDEX(Assumptions!B:B,MATCH("Years to stability",Assumptions!A:A,0))+1,V5*(1+W6),"")</f>
      </c>
    </row>
    <row r="6" spans="1:23" x14ac:dyDescent="0.25">
      <c r="A6" s="11" t="s">
        <v>65</v>
      </c>
      <c r="B6" s="25">
        <f>=INDEX(Financials!B:B,MATCH("YoY Growth",Financials!A:A,0))</f>
      </c>
      <c r="C6" s="25">
        <f>=IF(1&gt;INDEX(Assumptions!B:B,MATCH("Years to stability",Assumptions!A:A,0))+1,"",IF(1=INDEX(Assumptions!B:B,MATCH("Years to stability",Assumptions!A:A,0))+1,INDEX(Assumptions!B:B,MATCH("Stable growth rate",Assumptions!A:A,0)),IF(INDEX(Assumptions!B:B,MATCH("Years to stability",Assumptions!A:A,0))=1,INDEX(Assumptions!B:B,MATCH("Revenue growth rate",Assumptions!A:A,0)),IF(1&lt;=INT(INDEX(Assumptions!B:B,MATCH("Years to stability",Assumptions!A:A,0))/2),INDEX(Assumptions!B:B,MATCH("Revenue growth rate",Assumptions!A:A,0)),INDEX(Assumptions!B:B,MATCH("Revenue growth rate",Assumptions!A:A,0))+(((1-INT(INDEX(Assumptions!B:B,MATCH("Years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D6" s="25">
        <f>=IF(2&gt;INDEX(Assumptions!B:B,MATCH("Years to stability",Assumptions!A:A,0))+1,"",IF(2=INDEX(Assumptions!B:B,MATCH("Years to stability",Assumptions!A:A,0))+1,INDEX(Assumptions!B:B,MATCH("Stable growth rate",Assumptions!A:A,0)),IF(INDEX(Assumptions!B:B,MATCH("Years to stability",Assumptions!A:A,0))=1,INDEX(Assumptions!B:B,MATCH("Revenue growth rate",Assumptions!A:A,0)),IF(2&lt;=INT(INDEX(Assumptions!B:B,MATCH("Years to stability",Assumptions!A:A,0))/2),INDEX(Assumptions!B:B,MATCH("Revenue growth rate",Assumptions!A:A,0)),INDEX(Assumptions!B:B,MATCH("Revenue growth rate",Assumptions!A:A,0))+(((2-INT(INDEX(Assumptions!B:B,MATCH("Years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E6" s="25">
        <f>=IF(3&gt;INDEX(Assumptions!B:B,MATCH("Years to stability",Assumptions!A:A,0))+1,"",IF(3=INDEX(Assumptions!B:B,MATCH("Years to stability",Assumptions!A:A,0))+1,INDEX(Assumptions!B:B,MATCH("Stable growth rate",Assumptions!A:A,0)),IF(INDEX(Assumptions!B:B,MATCH("Years to stability",Assumptions!A:A,0))=1,INDEX(Assumptions!B:B,MATCH("Revenue growth rate",Assumptions!A:A,0)),IF(3&lt;=INT(INDEX(Assumptions!B:B,MATCH("Years to stability",Assumptions!A:A,0))/2),INDEX(Assumptions!B:B,MATCH("Revenue growth rate",Assumptions!A:A,0)),INDEX(Assumptions!B:B,MATCH("Revenue growth rate",Assumptions!A:A,0))+(((3-INT(INDEX(Assumptions!B:B,MATCH("Years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F6" s="25">
        <f>=IF(4&gt;INDEX(Assumptions!B:B,MATCH("Years to stability",Assumptions!A:A,0))+1,"",IF(4=INDEX(Assumptions!B:B,MATCH("Years to stability",Assumptions!A:A,0))+1,INDEX(Assumptions!B:B,MATCH("Stable growth rate",Assumptions!A:A,0)),IF(INDEX(Assumptions!B:B,MATCH("Years to stability",Assumptions!A:A,0))=1,INDEX(Assumptions!B:B,MATCH("Revenue growth rate",Assumptions!A:A,0)),IF(4&lt;=INT(INDEX(Assumptions!B:B,MATCH("Years to stability",Assumptions!A:A,0))/2),INDEX(Assumptions!B:B,MATCH("Revenue growth rate",Assumptions!A:A,0)),INDEX(Assumptions!B:B,MATCH("Revenue growth rate",Assumptions!A:A,0))+(((4-INT(INDEX(Assumptions!B:B,MATCH("Years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G6" s="25">
        <f>=IF(5&gt;INDEX(Assumptions!B:B,MATCH("Years to stability",Assumptions!A:A,0))+1,"",IF(5=INDEX(Assumptions!B:B,MATCH("Years to stability",Assumptions!A:A,0))+1,INDEX(Assumptions!B:B,MATCH("Stable growth rate",Assumptions!A:A,0)),IF(INDEX(Assumptions!B:B,MATCH("Years to stability",Assumptions!A:A,0))=1,INDEX(Assumptions!B:B,MATCH("Revenue growth rate",Assumptions!A:A,0)),IF(5&lt;=INT(INDEX(Assumptions!B:B,MATCH("Years to stability",Assumptions!A:A,0))/2),INDEX(Assumptions!B:B,MATCH("Revenue growth rate",Assumptions!A:A,0)),INDEX(Assumptions!B:B,MATCH("Revenue growth rate",Assumptions!A:A,0))+(((5-INT(INDEX(Assumptions!B:B,MATCH("Years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H6" s="25">
        <f>=IF(6&gt;INDEX(Assumptions!B:B,MATCH("Years to stability",Assumptions!A:A,0))+1,"",IF(6=INDEX(Assumptions!B:B,MATCH("Years to stability",Assumptions!A:A,0))+1,INDEX(Assumptions!B:B,MATCH("Stable growth rate",Assumptions!A:A,0)),IF(INDEX(Assumptions!B:B,MATCH("Years to stability",Assumptions!A:A,0))=1,INDEX(Assumptions!B:B,MATCH("Revenue growth rate",Assumptions!A:A,0)),IF(6&lt;=INT(INDEX(Assumptions!B:B,MATCH("Years to stability",Assumptions!A:A,0))/2),INDEX(Assumptions!B:B,MATCH("Revenue growth rate",Assumptions!A:A,0)),INDEX(Assumptions!B:B,MATCH("Revenue growth rate",Assumptions!A:A,0))+(((6-INT(INDEX(Assumptions!B:B,MATCH("Years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I6" s="25">
        <f>=IF(7&gt;INDEX(Assumptions!B:B,MATCH("Years to stability",Assumptions!A:A,0))+1,"",IF(7=INDEX(Assumptions!B:B,MATCH("Years to stability",Assumptions!A:A,0))+1,INDEX(Assumptions!B:B,MATCH("Stable growth rate",Assumptions!A:A,0)),IF(INDEX(Assumptions!B:B,MATCH("Years to stability",Assumptions!A:A,0))=1,INDEX(Assumptions!B:B,MATCH("Revenue growth rate",Assumptions!A:A,0)),IF(7&lt;=INT(INDEX(Assumptions!B:B,MATCH("Years to stability",Assumptions!A:A,0))/2),INDEX(Assumptions!B:B,MATCH("Revenue growth rate",Assumptions!A:A,0)),INDEX(Assumptions!B:B,MATCH("Revenue growth rate",Assumptions!A:A,0))+(((7-INT(INDEX(Assumptions!B:B,MATCH("Years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J6" s="25">
        <f>=IF(8&gt;INDEX(Assumptions!B:B,MATCH("Years to stability",Assumptions!A:A,0))+1,"",IF(8=INDEX(Assumptions!B:B,MATCH("Years to stability",Assumptions!A:A,0))+1,INDEX(Assumptions!B:B,MATCH("Stable growth rate",Assumptions!A:A,0)),IF(INDEX(Assumptions!B:B,MATCH("Years to stability",Assumptions!A:A,0))=1,INDEX(Assumptions!B:B,MATCH("Revenue growth rate",Assumptions!A:A,0)),IF(8&lt;=INT(INDEX(Assumptions!B:B,MATCH("Years to stability",Assumptions!A:A,0))/2),INDEX(Assumptions!B:B,MATCH("Revenue growth rate",Assumptions!A:A,0)),INDEX(Assumptions!B:B,MATCH("Revenue growth rate",Assumptions!A:A,0))+(((8-INT(INDEX(Assumptions!B:B,MATCH("Years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K6" s="25">
        <f>=IF(9&gt;INDEX(Assumptions!B:B,MATCH("Years to stability",Assumptions!A:A,0))+1,"",IF(9=INDEX(Assumptions!B:B,MATCH("Years to stability",Assumptions!A:A,0))+1,INDEX(Assumptions!B:B,MATCH("Stable growth rate",Assumptions!A:A,0)),IF(INDEX(Assumptions!B:B,MATCH("Years to stability",Assumptions!A:A,0))=1,INDEX(Assumptions!B:B,MATCH("Revenue growth rate",Assumptions!A:A,0)),IF(9&lt;=INT(INDEX(Assumptions!B:B,MATCH("Years to stability",Assumptions!A:A,0))/2),INDEX(Assumptions!B:B,MATCH("Revenue growth rate",Assumptions!A:A,0)),INDEX(Assumptions!B:B,MATCH("Revenue growth rate",Assumptions!A:A,0))+(((9-INT(INDEX(Assumptions!B:B,MATCH("Years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L6" s="25">
        <f>=IF(10&gt;INDEX(Assumptions!B:B,MATCH("Years to stability",Assumptions!A:A,0))+1,"",IF(10=INDEX(Assumptions!B:B,MATCH("Years to stability",Assumptions!A:A,0))+1,INDEX(Assumptions!B:B,MATCH("Stable growth rate",Assumptions!A:A,0)),IF(INDEX(Assumptions!B:B,MATCH("Years to stability",Assumptions!A:A,0))=1,INDEX(Assumptions!B:B,MATCH("Revenue growth rate",Assumptions!A:A,0)),IF(10&lt;=INT(INDEX(Assumptions!B:B,MATCH("Years to stability",Assumptions!A:A,0))/2),INDEX(Assumptions!B:B,MATCH("Revenue growth rate",Assumptions!A:A,0)),INDEX(Assumptions!B:B,MATCH("Revenue growth rate",Assumptions!A:A,0))+(((10-INT(INDEX(Assumptions!B:B,MATCH("Years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M6" s="25">
        <f>=IF(11&gt;INDEX(Assumptions!B:B,MATCH("Years to stability",Assumptions!A:A,0))+1,"",IF(11=INDEX(Assumptions!B:B,MATCH("Years to stability",Assumptions!A:A,0))+1,INDEX(Assumptions!B:B,MATCH("Stable growth rate",Assumptions!A:A,0)),IF(INDEX(Assumptions!B:B,MATCH("Years to stability",Assumptions!A:A,0))=1,INDEX(Assumptions!B:B,MATCH("Revenue growth rate",Assumptions!A:A,0)),IF(11&lt;=INT(INDEX(Assumptions!B:B,MATCH("Years to stability",Assumptions!A:A,0))/2),INDEX(Assumptions!B:B,MATCH("Revenue growth rate",Assumptions!A:A,0)),INDEX(Assumptions!B:B,MATCH("Revenue growth rate",Assumptions!A:A,0))+(((11-INT(INDEX(Assumptions!B:B,MATCH("Years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N6" s="25">
        <f>=IF(12&gt;INDEX(Assumptions!B:B,MATCH("Years to stability",Assumptions!A:A,0))+1,"",IF(12=INDEX(Assumptions!B:B,MATCH("Years to stability",Assumptions!A:A,0))+1,INDEX(Assumptions!B:B,MATCH("Stable growth rate",Assumptions!A:A,0)),IF(INDEX(Assumptions!B:B,MATCH("Years to stability",Assumptions!A:A,0))=1,INDEX(Assumptions!B:B,MATCH("Revenue growth rate",Assumptions!A:A,0)),IF(12&lt;=INT(INDEX(Assumptions!B:B,MATCH("Years to stability",Assumptions!A:A,0))/2),INDEX(Assumptions!B:B,MATCH("Revenue growth rate",Assumptions!A:A,0)),INDEX(Assumptions!B:B,MATCH("Revenue growth rate",Assumptions!A:A,0))+(((12-INT(INDEX(Assumptions!B:B,MATCH("Years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O6" s="25">
        <f>=IF(13&gt;INDEX(Assumptions!B:B,MATCH("Years to stability",Assumptions!A:A,0))+1,"",IF(13=INDEX(Assumptions!B:B,MATCH("Years to stability",Assumptions!A:A,0))+1,INDEX(Assumptions!B:B,MATCH("Stable growth rate",Assumptions!A:A,0)),IF(INDEX(Assumptions!B:B,MATCH("Years to stability",Assumptions!A:A,0))=1,INDEX(Assumptions!B:B,MATCH("Revenue growth rate",Assumptions!A:A,0)),IF(13&lt;=INT(INDEX(Assumptions!B:B,MATCH("Years to stability",Assumptions!A:A,0))/2),INDEX(Assumptions!B:B,MATCH("Revenue growth rate",Assumptions!A:A,0)),INDEX(Assumptions!B:B,MATCH("Revenue growth rate",Assumptions!A:A,0))+(((13-INT(INDEX(Assumptions!B:B,MATCH("Years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P6" s="25">
        <f>=IF(14&gt;INDEX(Assumptions!B:B,MATCH("Years to stability",Assumptions!A:A,0))+1,"",IF(14=INDEX(Assumptions!B:B,MATCH("Years to stability",Assumptions!A:A,0))+1,INDEX(Assumptions!B:B,MATCH("Stable growth rate",Assumptions!A:A,0)),IF(INDEX(Assumptions!B:B,MATCH("Years to stability",Assumptions!A:A,0))=1,INDEX(Assumptions!B:B,MATCH("Revenue growth rate",Assumptions!A:A,0)),IF(14&lt;=INT(INDEX(Assumptions!B:B,MATCH("Years to stability",Assumptions!A:A,0))/2),INDEX(Assumptions!B:B,MATCH("Revenue growth rate",Assumptions!A:A,0)),INDEX(Assumptions!B:B,MATCH("Revenue growth rate",Assumptions!A:A,0))+(((14-INT(INDEX(Assumptions!B:B,MATCH("Years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Q6" s="25">
        <f>=IF(15&gt;INDEX(Assumptions!B:B,MATCH("Years to stability",Assumptions!A:A,0))+1,"",IF(15=INDEX(Assumptions!B:B,MATCH("Years to stability",Assumptions!A:A,0))+1,INDEX(Assumptions!B:B,MATCH("Stable growth rate",Assumptions!A:A,0)),IF(INDEX(Assumptions!B:B,MATCH("Years to stability",Assumptions!A:A,0))=1,INDEX(Assumptions!B:B,MATCH("Revenue growth rate",Assumptions!A:A,0)),IF(15&lt;=INT(INDEX(Assumptions!B:B,MATCH("Years to stability",Assumptions!A:A,0))/2),INDEX(Assumptions!B:B,MATCH("Revenue growth rate",Assumptions!A:A,0)),INDEX(Assumptions!B:B,MATCH("Revenue growth rate",Assumptions!A:A,0))+(((15-INT(INDEX(Assumptions!B:B,MATCH("Years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R6" s="25">
        <f>=IF(16&gt;INDEX(Assumptions!B:B,MATCH("Years to stability",Assumptions!A:A,0))+1,"",IF(16=INDEX(Assumptions!B:B,MATCH("Years to stability",Assumptions!A:A,0))+1,INDEX(Assumptions!B:B,MATCH("Stable growth rate",Assumptions!A:A,0)),IF(INDEX(Assumptions!B:B,MATCH("Years to stability",Assumptions!A:A,0))=1,INDEX(Assumptions!B:B,MATCH("Revenue growth rate",Assumptions!A:A,0)),IF(16&lt;=INT(INDEX(Assumptions!B:B,MATCH("Years to stability",Assumptions!A:A,0))/2),INDEX(Assumptions!B:B,MATCH("Revenue growth rate",Assumptions!A:A,0)),INDEX(Assumptions!B:B,MATCH("Revenue growth rate",Assumptions!A:A,0))+(((16-INT(INDEX(Assumptions!B:B,MATCH("Years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S6" s="25">
        <f>=IF(17&gt;INDEX(Assumptions!B:B,MATCH("Years to stability",Assumptions!A:A,0))+1,"",IF(17=INDEX(Assumptions!B:B,MATCH("Years to stability",Assumptions!A:A,0))+1,INDEX(Assumptions!B:B,MATCH("Stable growth rate",Assumptions!A:A,0)),IF(INDEX(Assumptions!B:B,MATCH("Years to stability",Assumptions!A:A,0))=1,INDEX(Assumptions!B:B,MATCH("Revenue growth rate",Assumptions!A:A,0)),IF(17&lt;=INT(INDEX(Assumptions!B:B,MATCH("Years to stability",Assumptions!A:A,0))/2),INDEX(Assumptions!B:B,MATCH("Revenue growth rate",Assumptions!A:A,0)),INDEX(Assumptions!B:B,MATCH("Revenue growth rate",Assumptions!A:A,0))+(((17-INT(INDEX(Assumptions!B:B,MATCH("Years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T6" s="25">
        <f>=IF(18&gt;INDEX(Assumptions!B:B,MATCH("Years to stability",Assumptions!A:A,0))+1,"",IF(18=INDEX(Assumptions!B:B,MATCH("Years to stability",Assumptions!A:A,0))+1,INDEX(Assumptions!B:B,MATCH("Stable growth rate",Assumptions!A:A,0)),IF(INDEX(Assumptions!B:B,MATCH("Years to stability",Assumptions!A:A,0))=1,INDEX(Assumptions!B:B,MATCH("Revenue growth rate",Assumptions!A:A,0)),IF(18&lt;=INT(INDEX(Assumptions!B:B,MATCH("Years to stability",Assumptions!A:A,0))/2),INDEX(Assumptions!B:B,MATCH("Revenue growth rate",Assumptions!A:A,0)),INDEX(Assumptions!B:B,MATCH("Revenue growth rate",Assumptions!A:A,0))+(((18-INT(INDEX(Assumptions!B:B,MATCH("Years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U6" s="25">
        <f>=IF(19&gt;INDEX(Assumptions!B:B,MATCH("Years to stability",Assumptions!A:A,0))+1,"",IF(19=INDEX(Assumptions!B:B,MATCH("Years to stability",Assumptions!A:A,0))+1,INDEX(Assumptions!B:B,MATCH("Stable growth rate",Assumptions!A:A,0)),IF(INDEX(Assumptions!B:B,MATCH("Years to stability",Assumptions!A:A,0))=1,INDEX(Assumptions!B:B,MATCH("Revenue growth rate",Assumptions!A:A,0)),IF(19&lt;=INT(INDEX(Assumptions!B:B,MATCH("Years to stability",Assumptions!A:A,0))/2),INDEX(Assumptions!B:B,MATCH("Revenue growth rate",Assumptions!A:A,0)),INDEX(Assumptions!B:B,MATCH("Revenue growth rate",Assumptions!A:A,0))+(((19-INT(INDEX(Assumptions!B:B,MATCH("Years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V6" s="25">
        <f>=IF(20&gt;INDEX(Assumptions!B:B,MATCH("Years to stability",Assumptions!A:A,0))+1,"",IF(20=INDEX(Assumptions!B:B,MATCH("Years to stability",Assumptions!A:A,0))+1,INDEX(Assumptions!B:B,MATCH("Stable growth rate",Assumptions!A:A,0)),IF(INDEX(Assumptions!B:B,MATCH("Years to stability",Assumptions!A:A,0))=1,INDEX(Assumptions!B:B,MATCH("Revenue growth rate",Assumptions!A:A,0)),IF(20&lt;=INT(INDEX(Assumptions!B:B,MATCH("Years to stability",Assumptions!A:A,0))/2),INDEX(Assumptions!B:B,MATCH("Revenue growth rate",Assumptions!A:A,0)),INDEX(Assumptions!B:B,MATCH("Revenue growth rate",Assumptions!A:A,0))+(((20-INT(INDEX(Assumptions!B:B,MATCH("Years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W6" s="25">
        <f>=IF(21&gt;INDEX(Assumptions!B:B,MATCH("Years to stability",Assumptions!A:A,0))+1,"",IF(21=INDEX(Assumptions!B:B,MATCH("Years to stability",Assumptions!A:A,0))+1,INDEX(Assumptions!B:B,MATCH("Stable growth rate",Assumptions!A:A,0)),IF(INDEX(Assumptions!B:B,MATCH("Years to stability",Assumptions!A:A,0))=1,INDEX(Assumptions!B:B,MATCH("Revenue growth rate",Assumptions!A:A,0)),IF(21&lt;=INT(INDEX(Assumptions!B:B,MATCH("Years to stability",Assumptions!A:A,0))/2),INDEX(Assumptions!B:B,MATCH("Revenue growth rate",Assumptions!A:A,0)),INDEX(Assumptions!B:B,MATCH("Revenue growth rate",Assumptions!A:A,0))+(((21-INT(INDEX(Assumptions!B:B,MATCH("Years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row>
    <row r="7" spans="1:23" x14ac:dyDescent="0.25">
      <c r="A7" s="11" t="s">
        <v>66</v>
      </c>
      <c r="B7" s="24">
        <f>=B5-B8</f>
      </c>
      <c r="C7" s="24">
        <f>=IF(1&lt;=INDEX(Assumptions!B:B,MATCH("Years to stability",Assumptions!A:A,0))+1,C5-C8,"")</f>
      </c>
      <c r="D7" s="24">
        <f>=IF(2&lt;=INDEX(Assumptions!B:B,MATCH("Years to stability",Assumptions!A:A,0))+1,D5-D8,"")</f>
      </c>
      <c r="E7" s="24">
        <f>=IF(3&lt;=INDEX(Assumptions!B:B,MATCH("Years to stability",Assumptions!A:A,0))+1,E5-E8,"")</f>
      </c>
      <c r="F7" s="24">
        <f>=IF(4&lt;=INDEX(Assumptions!B:B,MATCH("Years to stability",Assumptions!A:A,0))+1,F5-F8,"")</f>
      </c>
      <c r="G7" s="24">
        <f>=IF(5&lt;=INDEX(Assumptions!B:B,MATCH("Years to stability",Assumptions!A:A,0))+1,G5-G8,"")</f>
      </c>
      <c r="H7" s="24">
        <f>=IF(6&lt;=INDEX(Assumptions!B:B,MATCH("Years to stability",Assumptions!A:A,0))+1,H5-H8,"")</f>
      </c>
      <c r="I7" s="24">
        <f>=IF(7&lt;=INDEX(Assumptions!B:B,MATCH("Years to stability",Assumptions!A:A,0))+1,I5-I8,"")</f>
      </c>
      <c r="J7" s="24">
        <f>=IF(8&lt;=INDEX(Assumptions!B:B,MATCH("Years to stability",Assumptions!A:A,0))+1,J5-J8,"")</f>
      </c>
      <c r="K7" s="24">
        <f>=IF(9&lt;=INDEX(Assumptions!B:B,MATCH("Years to stability",Assumptions!A:A,0))+1,K5-K8,"")</f>
      </c>
      <c r="L7" s="24">
        <f>=IF(10&lt;=INDEX(Assumptions!B:B,MATCH("Years to stability",Assumptions!A:A,0))+1,L5-L8,"")</f>
      </c>
      <c r="M7" s="24">
        <f>=IF(11&lt;=INDEX(Assumptions!B:B,MATCH("Years to stability",Assumptions!A:A,0))+1,M5-M8,"")</f>
      </c>
      <c r="N7" s="24">
        <f>=IF(12&lt;=INDEX(Assumptions!B:B,MATCH("Years to stability",Assumptions!A:A,0))+1,N5-N8,"")</f>
      </c>
      <c r="O7" s="24">
        <f>=IF(13&lt;=INDEX(Assumptions!B:B,MATCH("Years to stability",Assumptions!A:A,0))+1,O5-O8,"")</f>
      </c>
      <c r="P7" s="24">
        <f>=IF(14&lt;=INDEX(Assumptions!B:B,MATCH("Years to stability",Assumptions!A:A,0))+1,P5-P8,"")</f>
      </c>
      <c r="Q7" s="24">
        <f>=IF(15&lt;=INDEX(Assumptions!B:B,MATCH("Years to stability",Assumptions!A:A,0))+1,Q5-Q8,"")</f>
      </c>
      <c r="R7" s="24">
        <f>=IF(16&lt;=INDEX(Assumptions!B:B,MATCH("Years to stability",Assumptions!A:A,0))+1,R5-R8,"")</f>
      </c>
      <c r="S7" s="24">
        <f>=IF(17&lt;=INDEX(Assumptions!B:B,MATCH("Years to stability",Assumptions!A:A,0))+1,S5-S8,"")</f>
      </c>
      <c r="T7" s="24">
        <f>=IF(18&lt;=INDEX(Assumptions!B:B,MATCH("Years to stability",Assumptions!A:A,0))+1,T5-T8,"")</f>
      </c>
      <c r="U7" s="24">
        <f>=IF(19&lt;=INDEX(Assumptions!B:B,MATCH("Years to stability",Assumptions!A:A,0))+1,U5-U8,"")</f>
      </c>
      <c r="V7" s="24">
        <f>=IF(20&lt;=INDEX(Assumptions!B:B,MATCH("Years to stability",Assumptions!A:A,0))+1,V5-V8,"")</f>
      </c>
      <c r="W7" s="24">
        <f>=IF(21&lt;=INDEX(Assumptions!B:B,MATCH("Years to stability",Assumptions!A:A,0))+1,W5-W8,"")</f>
      </c>
    </row>
    <row r="8" spans="1:23" x14ac:dyDescent="0.25">
      <c r="A8" s="11" t="s">
        <v>67</v>
      </c>
      <c r="B8" s="24">
        <f>=INDEX(Financials!B:B,MATCH("Adjusted Net Profit",Financials!A:A,0))</f>
      </c>
      <c r="C8" s="24">
        <f>=IF(1&lt;=INDEX(Assumptions!B:B,MATCH("Years to stability",Assumptions!A:A,0))+1,C5*C9,"")</f>
      </c>
      <c r="D8" s="24">
        <f>=IF(2&lt;=INDEX(Assumptions!B:B,MATCH("Years to stability",Assumptions!A:A,0))+1,D5*D9,"")</f>
      </c>
      <c r="E8" s="24">
        <f>=IF(3&lt;=INDEX(Assumptions!B:B,MATCH("Years to stability",Assumptions!A:A,0))+1,E5*E9,"")</f>
      </c>
      <c r="F8" s="24">
        <f>=IF(4&lt;=INDEX(Assumptions!B:B,MATCH("Years to stability",Assumptions!A:A,0))+1,F5*F9,"")</f>
      </c>
      <c r="G8" s="24">
        <f>=IF(5&lt;=INDEX(Assumptions!B:B,MATCH("Years to stability",Assumptions!A:A,0))+1,G5*G9,"")</f>
      </c>
      <c r="H8" s="24">
        <f>=IF(6&lt;=INDEX(Assumptions!B:B,MATCH("Years to stability",Assumptions!A:A,0))+1,H5*H9,"")</f>
      </c>
      <c r="I8" s="24">
        <f>=IF(7&lt;=INDEX(Assumptions!B:B,MATCH("Years to stability",Assumptions!A:A,0))+1,I5*I9,"")</f>
      </c>
      <c r="J8" s="24">
        <f>=IF(8&lt;=INDEX(Assumptions!B:B,MATCH("Years to stability",Assumptions!A:A,0))+1,J5*J9,"")</f>
      </c>
      <c r="K8" s="24">
        <f>=IF(9&lt;=INDEX(Assumptions!B:B,MATCH("Years to stability",Assumptions!A:A,0))+1,K5*K9,"")</f>
      </c>
      <c r="L8" s="24">
        <f>=IF(10&lt;=INDEX(Assumptions!B:B,MATCH("Years to stability",Assumptions!A:A,0))+1,L5*L9,"")</f>
      </c>
      <c r="M8" s="24">
        <f>=IF(11&lt;=INDEX(Assumptions!B:B,MATCH("Years to stability",Assumptions!A:A,0))+1,M5*M9,"")</f>
      </c>
      <c r="N8" s="24">
        <f>=IF(12&lt;=INDEX(Assumptions!B:B,MATCH("Years to stability",Assumptions!A:A,0))+1,N5*N9,"")</f>
      </c>
      <c r="O8" s="24">
        <f>=IF(13&lt;=INDEX(Assumptions!B:B,MATCH("Years to stability",Assumptions!A:A,0))+1,O5*O9,"")</f>
      </c>
      <c r="P8" s="24">
        <f>=IF(14&lt;=INDEX(Assumptions!B:B,MATCH("Years to stability",Assumptions!A:A,0))+1,P5*P9,"")</f>
      </c>
      <c r="Q8" s="24">
        <f>=IF(15&lt;=INDEX(Assumptions!B:B,MATCH("Years to stability",Assumptions!A:A,0))+1,Q5*Q9,"")</f>
      </c>
      <c r="R8" s="24">
        <f>=IF(16&lt;=INDEX(Assumptions!B:B,MATCH("Years to stability",Assumptions!A:A,0))+1,R5*R9,"")</f>
      </c>
      <c r="S8" s="24">
        <f>=IF(17&lt;=INDEX(Assumptions!B:B,MATCH("Years to stability",Assumptions!A:A,0))+1,S5*S9,"")</f>
      </c>
      <c r="T8" s="24">
        <f>=IF(18&lt;=INDEX(Assumptions!B:B,MATCH("Years to stability",Assumptions!A:A,0))+1,T5*T9,"")</f>
      </c>
      <c r="U8" s="24">
        <f>=IF(19&lt;=INDEX(Assumptions!B:B,MATCH("Years to stability",Assumptions!A:A,0))+1,U5*U9,"")</f>
      </c>
      <c r="V8" s="24">
        <f>=IF(20&lt;=INDEX(Assumptions!B:B,MATCH("Years to stability",Assumptions!A:A,0))+1,V5*V9,"")</f>
      </c>
      <c r="W8" s="24">
        <f>=IF(21&lt;=INDEX(Assumptions!B:B,MATCH("Years to stability",Assumptions!A:A,0))+1,W5*W9,"")</f>
      </c>
    </row>
    <row r="9" spans="1:23" x14ac:dyDescent="0.25">
      <c r="A9" s="11" t="s">
        <v>68</v>
      </c>
      <c r="B9" s="25">
        <f>=INDEX(Financials!B:B,MATCH("Margin",Financials!A:A,0))</f>
      </c>
      <c r="C9" s="25">
        <f>=IF(1&gt;INDEX(Assumptions!B:B,MATCH("Years to stability",Assumptions!A:A,0))+1,"",IF(INDEX(Assumptions!B:B,MATCH("Margin convergence",Assumptions!A:A,0))=0,INDEX(Assumptions!B:B,MATCH("FY+1 net profit margin",Assumptions!A:A,0))+IF(INDEX(Assumptions!B:B,MATCH("Margin convergence",Assumptions!A:A,0))=0,(1-1)/(INDEX(Assumptions!B:B,MATCH("Years to stability",Assumptions!A:A,0))-1),MIN(1-1,INDEX(Assumptions!B:B,MATCH("Margin convergence",Assumptions!A:A,0)))/INDEX(Assumptions!B:B,MATCH("Margin convergence",Assumptions!A:A,0)))*(INDEX(Assumptions!B:B,MATCH("Stable net profit margin",Assumptions!A:A,0))-INDEX(Assumptions!B:B,MATCH("FY+1 net profit margin",Assumptions!A:A,0))),IF(1-1&gt;=INDEX(Assumptions!B:B,MATCH("Margin convergence",Assumptions!A:A,0)),INDEX(Assumptions!B:B,MATCH("Stable net profit margin",Assumptions!A:A,0)),INDEX(Assumptions!B:B,MATCH("FY+1 net profit margin",Assumptions!A:A,0))+IF(INDEX(Assumptions!B:B,MATCH("Margin convergence",Assumptions!A:A,0))=0,(1-1)/(INDEX(Assumptions!B:B,MATCH("Years to stability",Assumptions!A:A,0))-1),MIN(1-1,INDEX(Assumptions!B:B,MATCH("Margin convergence",Assumptions!A:A,0)))/INDEX(Assumptions!B:B,MATCH("Margin convergence",Assumptions!A:A,0)))*(INDEX(Assumptions!B:B,MATCH("Stable net profit margin",Assumptions!A:A,0))-INDEX(Assumptions!B:B,MATCH("FY+1 net profit margin",Assumptions!A:A,0))))))</f>
      </c>
      <c r="D9" s="25">
        <f>=IF(2&gt;INDEX(Assumptions!B:B,MATCH("Years to stability",Assumptions!A:A,0))+1,"",IF(INDEX(Assumptions!B:B,MATCH("Margin convergence",Assumptions!A:A,0))=0,INDEX(Assumptions!B:B,MATCH("FY+1 net profit margin",Assumptions!A:A,0))+IF(INDEX(Assumptions!B:B,MATCH("Margin convergence",Assumptions!A:A,0))=0,(2-1)/(INDEX(Assumptions!B:B,MATCH("Years to stability",Assumptions!A:A,0))-1),MIN(2-1,INDEX(Assumptions!B:B,MATCH("Margin convergence",Assumptions!A:A,0)))/INDEX(Assumptions!B:B,MATCH("Margin convergence",Assumptions!A:A,0)))*(INDEX(Assumptions!B:B,MATCH("Stable net profit margin",Assumptions!A:A,0))-INDEX(Assumptions!B:B,MATCH("FY+1 net profit margin",Assumptions!A:A,0))),IF(2-1&gt;=INDEX(Assumptions!B:B,MATCH("Margin convergence",Assumptions!A:A,0)),INDEX(Assumptions!B:B,MATCH("Stable net profit margin",Assumptions!A:A,0)),INDEX(Assumptions!B:B,MATCH("FY+1 net profit margin",Assumptions!A:A,0))+IF(INDEX(Assumptions!B:B,MATCH("Margin convergence",Assumptions!A:A,0))=0,(2-1)/(INDEX(Assumptions!B:B,MATCH("Years to stability",Assumptions!A:A,0))-1),MIN(2-1,INDEX(Assumptions!B:B,MATCH("Margin convergence",Assumptions!A:A,0)))/INDEX(Assumptions!B:B,MATCH("Margin convergence",Assumptions!A:A,0)))*(INDEX(Assumptions!B:B,MATCH("Stable net profit margin",Assumptions!A:A,0))-INDEX(Assumptions!B:B,MATCH("FY+1 net profit margin",Assumptions!A:A,0))))))</f>
      </c>
      <c r="E9" s="25">
        <f>=IF(3&gt;INDEX(Assumptions!B:B,MATCH("Years to stability",Assumptions!A:A,0))+1,"",IF(INDEX(Assumptions!B:B,MATCH("Margin convergence",Assumptions!A:A,0))=0,INDEX(Assumptions!B:B,MATCH("FY+1 net profit margin",Assumptions!A:A,0))+IF(INDEX(Assumptions!B:B,MATCH("Margin convergence",Assumptions!A:A,0))=0,(3-1)/(INDEX(Assumptions!B:B,MATCH("Years to stability",Assumptions!A:A,0))-1),MIN(3-1,INDEX(Assumptions!B:B,MATCH("Margin convergence",Assumptions!A:A,0)))/INDEX(Assumptions!B:B,MATCH("Margin convergence",Assumptions!A:A,0)))*(INDEX(Assumptions!B:B,MATCH("Stable net profit margin",Assumptions!A:A,0))-INDEX(Assumptions!B:B,MATCH("FY+1 net profit margin",Assumptions!A:A,0))),IF(3-1&gt;=INDEX(Assumptions!B:B,MATCH("Margin convergence",Assumptions!A:A,0)),INDEX(Assumptions!B:B,MATCH("Stable net profit margin",Assumptions!A:A,0)),INDEX(Assumptions!B:B,MATCH("FY+1 net profit margin",Assumptions!A:A,0))+IF(INDEX(Assumptions!B:B,MATCH("Margin convergence",Assumptions!A:A,0))=0,(3-1)/(INDEX(Assumptions!B:B,MATCH("Years to stability",Assumptions!A:A,0))-1),MIN(3-1,INDEX(Assumptions!B:B,MATCH("Margin convergence",Assumptions!A:A,0)))/INDEX(Assumptions!B:B,MATCH("Margin convergence",Assumptions!A:A,0)))*(INDEX(Assumptions!B:B,MATCH("Stable net profit margin",Assumptions!A:A,0))-INDEX(Assumptions!B:B,MATCH("FY+1 net profit margin",Assumptions!A:A,0))))))</f>
      </c>
      <c r="F9" s="25">
        <f>=IF(4&gt;INDEX(Assumptions!B:B,MATCH("Years to stability",Assumptions!A:A,0))+1,"",IF(INDEX(Assumptions!B:B,MATCH("Margin convergence",Assumptions!A:A,0))=0,INDEX(Assumptions!B:B,MATCH("FY+1 net profit margin",Assumptions!A:A,0))+IF(INDEX(Assumptions!B:B,MATCH("Margin convergence",Assumptions!A:A,0))=0,(4-1)/(INDEX(Assumptions!B:B,MATCH("Years to stability",Assumptions!A:A,0))-1),MIN(4-1,INDEX(Assumptions!B:B,MATCH("Margin convergence",Assumptions!A:A,0)))/INDEX(Assumptions!B:B,MATCH("Margin convergence",Assumptions!A:A,0)))*(INDEX(Assumptions!B:B,MATCH("Stable net profit margin",Assumptions!A:A,0))-INDEX(Assumptions!B:B,MATCH("FY+1 net profit margin",Assumptions!A:A,0))),IF(4-1&gt;=INDEX(Assumptions!B:B,MATCH("Margin convergence",Assumptions!A:A,0)),INDEX(Assumptions!B:B,MATCH("Stable net profit margin",Assumptions!A:A,0)),INDEX(Assumptions!B:B,MATCH("FY+1 net profit margin",Assumptions!A:A,0))+IF(INDEX(Assumptions!B:B,MATCH("Margin convergence",Assumptions!A:A,0))=0,(4-1)/(INDEX(Assumptions!B:B,MATCH("Years to stability",Assumptions!A:A,0))-1),MIN(4-1,INDEX(Assumptions!B:B,MATCH("Margin convergence",Assumptions!A:A,0)))/INDEX(Assumptions!B:B,MATCH("Margin convergence",Assumptions!A:A,0)))*(INDEX(Assumptions!B:B,MATCH("Stable net profit margin",Assumptions!A:A,0))-INDEX(Assumptions!B:B,MATCH("FY+1 net profit margin",Assumptions!A:A,0))))))</f>
      </c>
      <c r="G9" s="25">
        <f>=IF(5&gt;INDEX(Assumptions!B:B,MATCH("Years to stability",Assumptions!A:A,0))+1,"",IF(INDEX(Assumptions!B:B,MATCH("Margin convergence",Assumptions!A:A,0))=0,INDEX(Assumptions!B:B,MATCH("FY+1 net profit margin",Assumptions!A:A,0))+IF(INDEX(Assumptions!B:B,MATCH("Margin convergence",Assumptions!A:A,0))=0,(5-1)/(INDEX(Assumptions!B:B,MATCH("Years to stability",Assumptions!A:A,0))-1),MIN(5-1,INDEX(Assumptions!B:B,MATCH("Margin convergence",Assumptions!A:A,0)))/INDEX(Assumptions!B:B,MATCH("Margin convergence",Assumptions!A:A,0)))*(INDEX(Assumptions!B:B,MATCH("Stable net profit margin",Assumptions!A:A,0))-INDEX(Assumptions!B:B,MATCH("FY+1 net profit margin",Assumptions!A:A,0))),IF(5-1&gt;=INDEX(Assumptions!B:B,MATCH("Margin convergence",Assumptions!A:A,0)),INDEX(Assumptions!B:B,MATCH("Stable net profit margin",Assumptions!A:A,0)),INDEX(Assumptions!B:B,MATCH("FY+1 net profit margin",Assumptions!A:A,0))+IF(INDEX(Assumptions!B:B,MATCH("Margin convergence",Assumptions!A:A,0))=0,(5-1)/(INDEX(Assumptions!B:B,MATCH("Years to stability",Assumptions!A:A,0))-1),MIN(5-1,INDEX(Assumptions!B:B,MATCH("Margin convergence",Assumptions!A:A,0)))/INDEX(Assumptions!B:B,MATCH("Margin convergence",Assumptions!A:A,0)))*(INDEX(Assumptions!B:B,MATCH("Stable net profit margin",Assumptions!A:A,0))-INDEX(Assumptions!B:B,MATCH("FY+1 net profit margin",Assumptions!A:A,0))))))</f>
      </c>
      <c r="H9" s="25">
        <f>=IF(6&gt;INDEX(Assumptions!B:B,MATCH("Years to stability",Assumptions!A:A,0))+1,"",IF(INDEX(Assumptions!B:B,MATCH("Margin convergence",Assumptions!A:A,0))=0,INDEX(Assumptions!B:B,MATCH("FY+1 net profit margin",Assumptions!A:A,0))+IF(INDEX(Assumptions!B:B,MATCH("Margin convergence",Assumptions!A:A,0))=0,(6-1)/(INDEX(Assumptions!B:B,MATCH("Years to stability",Assumptions!A:A,0))-1),MIN(6-1,INDEX(Assumptions!B:B,MATCH("Margin convergence",Assumptions!A:A,0)))/INDEX(Assumptions!B:B,MATCH("Margin convergence",Assumptions!A:A,0)))*(INDEX(Assumptions!B:B,MATCH("Stable net profit margin",Assumptions!A:A,0))-INDEX(Assumptions!B:B,MATCH("FY+1 net profit margin",Assumptions!A:A,0))),IF(6-1&gt;=INDEX(Assumptions!B:B,MATCH("Margin convergence",Assumptions!A:A,0)),INDEX(Assumptions!B:B,MATCH("Stable net profit margin",Assumptions!A:A,0)),INDEX(Assumptions!B:B,MATCH("FY+1 net profit margin",Assumptions!A:A,0))+IF(INDEX(Assumptions!B:B,MATCH("Margin convergence",Assumptions!A:A,0))=0,(6-1)/(INDEX(Assumptions!B:B,MATCH("Years to stability",Assumptions!A:A,0))-1),MIN(6-1,INDEX(Assumptions!B:B,MATCH("Margin convergence",Assumptions!A:A,0)))/INDEX(Assumptions!B:B,MATCH("Margin convergence",Assumptions!A:A,0)))*(INDEX(Assumptions!B:B,MATCH("Stable net profit margin",Assumptions!A:A,0))-INDEX(Assumptions!B:B,MATCH("FY+1 net profit margin",Assumptions!A:A,0))))))</f>
      </c>
      <c r="I9" s="25">
        <f>=IF(7&gt;INDEX(Assumptions!B:B,MATCH("Years to stability",Assumptions!A:A,0))+1,"",IF(INDEX(Assumptions!B:B,MATCH("Margin convergence",Assumptions!A:A,0))=0,INDEX(Assumptions!B:B,MATCH("FY+1 net profit margin",Assumptions!A:A,0))+IF(INDEX(Assumptions!B:B,MATCH("Margin convergence",Assumptions!A:A,0))=0,(7-1)/(INDEX(Assumptions!B:B,MATCH("Years to stability",Assumptions!A:A,0))-1),MIN(7-1,INDEX(Assumptions!B:B,MATCH("Margin convergence",Assumptions!A:A,0)))/INDEX(Assumptions!B:B,MATCH("Margin convergence",Assumptions!A:A,0)))*(INDEX(Assumptions!B:B,MATCH("Stable net profit margin",Assumptions!A:A,0))-INDEX(Assumptions!B:B,MATCH("FY+1 net profit margin",Assumptions!A:A,0))),IF(7-1&gt;=INDEX(Assumptions!B:B,MATCH("Margin convergence",Assumptions!A:A,0)),INDEX(Assumptions!B:B,MATCH("Stable net profit margin",Assumptions!A:A,0)),INDEX(Assumptions!B:B,MATCH("FY+1 net profit margin",Assumptions!A:A,0))+IF(INDEX(Assumptions!B:B,MATCH("Margin convergence",Assumptions!A:A,0))=0,(7-1)/(INDEX(Assumptions!B:B,MATCH("Years to stability",Assumptions!A:A,0))-1),MIN(7-1,INDEX(Assumptions!B:B,MATCH("Margin convergence",Assumptions!A:A,0)))/INDEX(Assumptions!B:B,MATCH("Margin convergence",Assumptions!A:A,0)))*(INDEX(Assumptions!B:B,MATCH("Stable net profit margin",Assumptions!A:A,0))-INDEX(Assumptions!B:B,MATCH("FY+1 net profit margin",Assumptions!A:A,0))))))</f>
      </c>
      <c r="J9" s="25">
        <f>=IF(8&gt;INDEX(Assumptions!B:B,MATCH("Years to stability",Assumptions!A:A,0))+1,"",IF(INDEX(Assumptions!B:B,MATCH("Margin convergence",Assumptions!A:A,0))=0,INDEX(Assumptions!B:B,MATCH("FY+1 net profit margin",Assumptions!A:A,0))+IF(INDEX(Assumptions!B:B,MATCH("Margin convergence",Assumptions!A:A,0))=0,(8-1)/(INDEX(Assumptions!B:B,MATCH("Years to stability",Assumptions!A:A,0))-1),MIN(8-1,INDEX(Assumptions!B:B,MATCH("Margin convergence",Assumptions!A:A,0)))/INDEX(Assumptions!B:B,MATCH("Margin convergence",Assumptions!A:A,0)))*(INDEX(Assumptions!B:B,MATCH("Stable net profit margin",Assumptions!A:A,0))-INDEX(Assumptions!B:B,MATCH("FY+1 net profit margin",Assumptions!A:A,0))),IF(8-1&gt;=INDEX(Assumptions!B:B,MATCH("Margin convergence",Assumptions!A:A,0)),INDEX(Assumptions!B:B,MATCH("Stable net profit margin",Assumptions!A:A,0)),INDEX(Assumptions!B:B,MATCH("FY+1 net profit margin",Assumptions!A:A,0))+IF(INDEX(Assumptions!B:B,MATCH("Margin convergence",Assumptions!A:A,0))=0,(8-1)/(INDEX(Assumptions!B:B,MATCH("Years to stability",Assumptions!A:A,0))-1),MIN(8-1,INDEX(Assumptions!B:B,MATCH("Margin convergence",Assumptions!A:A,0)))/INDEX(Assumptions!B:B,MATCH("Margin convergence",Assumptions!A:A,0)))*(INDEX(Assumptions!B:B,MATCH("Stable net profit margin",Assumptions!A:A,0))-INDEX(Assumptions!B:B,MATCH("FY+1 net profit margin",Assumptions!A:A,0))))))</f>
      </c>
      <c r="K9" s="25">
        <f>=IF(9&gt;INDEX(Assumptions!B:B,MATCH("Years to stability",Assumptions!A:A,0))+1,"",IF(INDEX(Assumptions!B:B,MATCH("Margin convergence",Assumptions!A:A,0))=0,INDEX(Assumptions!B:B,MATCH("FY+1 net profit margin",Assumptions!A:A,0))+IF(INDEX(Assumptions!B:B,MATCH("Margin convergence",Assumptions!A:A,0))=0,(9-1)/(INDEX(Assumptions!B:B,MATCH("Years to stability",Assumptions!A:A,0))-1),MIN(9-1,INDEX(Assumptions!B:B,MATCH("Margin convergence",Assumptions!A:A,0)))/INDEX(Assumptions!B:B,MATCH("Margin convergence",Assumptions!A:A,0)))*(INDEX(Assumptions!B:B,MATCH("Stable net profit margin",Assumptions!A:A,0))-INDEX(Assumptions!B:B,MATCH("FY+1 net profit margin",Assumptions!A:A,0))),IF(9-1&gt;=INDEX(Assumptions!B:B,MATCH("Margin convergence",Assumptions!A:A,0)),INDEX(Assumptions!B:B,MATCH("Stable net profit margin",Assumptions!A:A,0)),INDEX(Assumptions!B:B,MATCH("FY+1 net profit margin",Assumptions!A:A,0))+IF(INDEX(Assumptions!B:B,MATCH("Margin convergence",Assumptions!A:A,0))=0,(9-1)/(INDEX(Assumptions!B:B,MATCH("Years to stability",Assumptions!A:A,0))-1),MIN(9-1,INDEX(Assumptions!B:B,MATCH("Margin convergence",Assumptions!A:A,0)))/INDEX(Assumptions!B:B,MATCH("Margin convergence",Assumptions!A:A,0)))*(INDEX(Assumptions!B:B,MATCH("Stable net profit margin",Assumptions!A:A,0))-INDEX(Assumptions!B:B,MATCH("FY+1 net profit margin",Assumptions!A:A,0))))))</f>
      </c>
      <c r="L9" s="25">
        <f>=IF(10&gt;INDEX(Assumptions!B:B,MATCH("Years to stability",Assumptions!A:A,0))+1,"",IF(INDEX(Assumptions!B:B,MATCH("Margin convergence",Assumptions!A:A,0))=0,INDEX(Assumptions!B:B,MATCH("FY+1 net profit margin",Assumptions!A:A,0))+IF(INDEX(Assumptions!B:B,MATCH("Margin convergence",Assumptions!A:A,0))=0,(10-1)/(INDEX(Assumptions!B:B,MATCH("Years to stability",Assumptions!A:A,0))-1),MIN(10-1,INDEX(Assumptions!B:B,MATCH("Margin convergence",Assumptions!A:A,0)))/INDEX(Assumptions!B:B,MATCH("Margin convergence",Assumptions!A:A,0)))*(INDEX(Assumptions!B:B,MATCH("Stable net profit margin",Assumptions!A:A,0))-INDEX(Assumptions!B:B,MATCH("FY+1 net profit margin",Assumptions!A:A,0))),IF(10-1&gt;=INDEX(Assumptions!B:B,MATCH("Margin convergence",Assumptions!A:A,0)),INDEX(Assumptions!B:B,MATCH("Stable net profit margin",Assumptions!A:A,0)),INDEX(Assumptions!B:B,MATCH("FY+1 net profit margin",Assumptions!A:A,0))+IF(INDEX(Assumptions!B:B,MATCH("Margin convergence",Assumptions!A:A,0))=0,(10-1)/(INDEX(Assumptions!B:B,MATCH("Years to stability",Assumptions!A:A,0))-1),MIN(10-1,INDEX(Assumptions!B:B,MATCH("Margin convergence",Assumptions!A:A,0)))/INDEX(Assumptions!B:B,MATCH("Margin convergence",Assumptions!A:A,0)))*(INDEX(Assumptions!B:B,MATCH("Stable net profit margin",Assumptions!A:A,0))-INDEX(Assumptions!B:B,MATCH("FY+1 net profit margin",Assumptions!A:A,0))))))</f>
      </c>
      <c r="M9" s="25">
        <f>=IF(11&gt;INDEX(Assumptions!B:B,MATCH("Years to stability",Assumptions!A:A,0))+1,"",IF(INDEX(Assumptions!B:B,MATCH("Margin convergence",Assumptions!A:A,0))=0,INDEX(Assumptions!B:B,MATCH("FY+1 net profit margin",Assumptions!A:A,0))+IF(INDEX(Assumptions!B:B,MATCH("Margin convergence",Assumptions!A:A,0))=0,(11-1)/(INDEX(Assumptions!B:B,MATCH("Years to stability",Assumptions!A:A,0))-1),MIN(11-1,INDEX(Assumptions!B:B,MATCH("Margin convergence",Assumptions!A:A,0)))/INDEX(Assumptions!B:B,MATCH("Margin convergence",Assumptions!A:A,0)))*(INDEX(Assumptions!B:B,MATCH("Stable net profit margin",Assumptions!A:A,0))-INDEX(Assumptions!B:B,MATCH("FY+1 net profit margin",Assumptions!A:A,0))),IF(11-1&gt;=INDEX(Assumptions!B:B,MATCH("Margin convergence",Assumptions!A:A,0)),INDEX(Assumptions!B:B,MATCH("Stable net profit margin",Assumptions!A:A,0)),INDEX(Assumptions!B:B,MATCH("FY+1 net profit margin",Assumptions!A:A,0))+IF(INDEX(Assumptions!B:B,MATCH("Margin convergence",Assumptions!A:A,0))=0,(11-1)/(INDEX(Assumptions!B:B,MATCH("Years to stability",Assumptions!A:A,0))-1),MIN(11-1,INDEX(Assumptions!B:B,MATCH("Margin convergence",Assumptions!A:A,0)))/INDEX(Assumptions!B:B,MATCH("Margin convergence",Assumptions!A:A,0)))*(INDEX(Assumptions!B:B,MATCH("Stable net profit margin",Assumptions!A:A,0))-INDEX(Assumptions!B:B,MATCH("FY+1 net profit margin",Assumptions!A:A,0))))))</f>
      </c>
      <c r="N9" s="25">
        <f>=IF(12&gt;INDEX(Assumptions!B:B,MATCH("Years to stability",Assumptions!A:A,0))+1,"",IF(INDEX(Assumptions!B:B,MATCH("Margin convergence",Assumptions!A:A,0))=0,INDEX(Assumptions!B:B,MATCH("FY+1 net profit margin",Assumptions!A:A,0))+IF(INDEX(Assumptions!B:B,MATCH("Margin convergence",Assumptions!A:A,0))=0,(12-1)/(INDEX(Assumptions!B:B,MATCH("Years to stability",Assumptions!A:A,0))-1),MIN(12-1,INDEX(Assumptions!B:B,MATCH("Margin convergence",Assumptions!A:A,0)))/INDEX(Assumptions!B:B,MATCH("Margin convergence",Assumptions!A:A,0)))*(INDEX(Assumptions!B:B,MATCH("Stable net profit margin",Assumptions!A:A,0))-INDEX(Assumptions!B:B,MATCH("FY+1 net profit margin",Assumptions!A:A,0))),IF(12-1&gt;=INDEX(Assumptions!B:B,MATCH("Margin convergence",Assumptions!A:A,0)),INDEX(Assumptions!B:B,MATCH("Stable net profit margin",Assumptions!A:A,0)),INDEX(Assumptions!B:B,MATCH("FY+1 net profit margin",Assumptions!A:A,0))+IF(INDEX(Assumptions!B:B,MATCH("Margin convergence",Assumptions!A:A,0))=0,(12-1)/(INDEX(Assumptions!B:B,MATCH("Years to stability",Assumptions!A:A,0))-1),MIN(12-1,INDEX(Assumptions!B:B,MATCH("Margin convergence",Assumptions!A:A,0)))/INDEX(Assumptions!B:B,MATCH("Margin convergence",Assumptions!A:A,0)))*(INDEX(Assumptions!B:B,MATCH("Stable net profit margin",Assumptions!A:A,0))-INDEX(Assumptions!B:B,MATCH("FY+1 net profit margin",Assumptions!A:A,0))))))</f>
      </c>
      <c r="O9" s="25">
        <f>=IF(13&gt;INDEX(Assumptions!B:B,MATCH("Years to stability",Assumptions!A:A,0))+1,"",IF(INDEX(Assumptions!B:B,MATCH("Margin convergence",Assumptions!A:A,0))=0,INDEX(Assumptions!B:B,MATCH("FY+1 net profit margin",Assumptions!A:A,0))+IF(INDEX(Assumptions!B:B,MATCH("Margin convergence",Assumptions!A:A,0))=0,(13-1)/(INDEX(Assumptions!B:B,MATCH("Years to stability",Assumptions!A:A,0))-1),MIN(13-1,INDEX(Assumptions!B:B,MATCH("Margin convergence",Assumptions!A:A,0)))/INDEX(Assumptions!B:B,MATCH("Margin convergence",Assumptions!A:A,0)))*(INDEX(Assumptions!B:B,MATCH("Stable net profit margin",Assumptions!A:A,0))-INDEX(Assumptions!B:B,MATCH("FY+1 net profit margin",Assumptions!A:A,0))),IF(13-1&gt;=INDEX(Assumptions!B:B,MATCH("Margin convergence",Assumptions!A:A,0)),INDEX(Assumptions!B:B,MATCH("Stable net profit margin",Assumptions!A:A,0)),INDEX(Assumptions!B:B,MATCH("FY+1 net profit margin",Assumptions!A:A,0))+IF(INDEX(Assumptions!B:B,MATCH("Margin convergence",Assumptions!A:A,0))=0,(13-1)/(INDEX(Assumptions!B:B,MATCH("Years to stability",Assumptions!A:A,0))-1),MIN(13-1,INDEX(Assumptions!B:B,MATCH("Margin convergence",Assumptions!A:A,0)))/INDEX(Assumptions!B:B,MATCH("Margin convergence",Assumptions!A:A,0)))*(INDEX(Assumptions!B:B,MATCH("Stable net profit margin",Assumptions!A:A,0))-INDEX(Assumptions!B:B,MATCH("FY+1 net profit margin",Assumptions!A:A,0))))))</f>
      </c>
      <c r="P9" s="25">
        <f>=IF(14&gt;INDEX(Assumptions!B:B,MATCH("Years to stability",Assumptions!A:A,0))+1,"",IF(INDEX(Assumptions!B:B,MATCH("Margin convergence",Assumptions!A:A,0))=0,INDEX(Assumptions!B:B,MATCH("FY+1 net profit margin",Assumptions!A:A,0))+IF(INDEX(Assumptions!B:B,MATCH("Margin convergence",Assumptions!A:A,0))=0,(14-1)/(INDEX(Assumptions!B:B,MATCH("Years to stability",Assumptions!A:A,0))-1),MIN(14-1,INDEX(Assumptions!B:B,MATCH("Margin convergence",Assumptions!A:A,0)))/INDEX(Assumptions!B:B,MATCH("Margin convergence",Assumptions!A:A,0)))*(INDEX(Assumptions!B:B,MATCH("Stable net profit margin",Assumptions!A:A,0))-INDEX(Assumptions!B:B,MATCH("FY+1 net profit margin",Assumptions!A:A,0))),IF(14-1&gt;=INDEX(Assumptions!B:B,MATCH("Margin convergence",Assumptions!A:A,0)),INDEX(Assumptions!B:B,MATCH("Stable net profit margin",Assumptions!A:A,0)),INDEX(Assumptions!B:B,MATCH("FY+1 net profit margin",Assumptions!A:A,0))+IF(INDEX(Assumptions!B:B,MATCH("Margin convergence",Assumptions!A:A,0))=0,(14-1)/(INDEX(Assumptions!B:B,MATCH("Years to stability",Assumptions!A:A,0))-1),MIN(14-1,INDEX(Assumptions!B:B,MATCH("Margin convergence",Assumptions!A:A,0)))/INDEX(Assumptions!B:B,MATCH("Margin convergence",Assumptions!A:A,0)))*(INDEX(Assumptions!B:B,MATCH("Stable net profit margin",Assumptions!A:A,0))-INDEX(Assumptions!B:B,MATCH("FY+1 net profit margin",Assumptions!A:A,0))))))</f>
      </c>
      <c r="Q9" s="25">
        <f>=IF(15&gt;INDEX(Assumptions!B:B,MATCH("Years to stability",Assumptions!A:A,0))+1,"",IF(INDEX(Assumptions!B:B,MATCH("Margin convergence",Assumptions!A:A,0))=0,INDEX(Assumptions!B:B,MATCH("FY+1 net profit margin",Assumptions!A:A,0))+IF(INDEX(Assumptions!B:B,MATCH("Margin convergence",Assumptions!A:A,0))=0,(15-1)/(INDEX(Assumptions!B:B,MATCH("Years to stability",Assumptions!A:A,0))-1),MIN(15-1,INDEX(Assumptions!B:B,MATCH("Margin convergence",Assumptions!A:A,0)))/INDEX(Assumptions!B:B,MATCH("Margin convergence",Assumptions!A:A,0)))*(INDEX(Assumptions!B:B,MATCH("Stable net profit margin",Assumptions!A:A,0))-INDEX(Assumptions!B:B,MATCH("FY+1 net profit margin",Assumptions!A:A,0))),IF(15-1&gt;=INDEX(Assumptions!B:B,MATCH("Margin convergence",Assumptions!A:A,0)),INDEX(Assumptions!B:B,MATCH("Stable net profit margin",Assumptions!A:A,0)),INDEX(Assumptions!B:B,MATCH("FY+1 net profit margin",Assumptions!A:A,0))+IF(INDEX(Assumptions!B:B,MATCH("Margin convergence",Assumptions!A:A,0))=0,(15-1)/(INDEX(Assumptions!B:B,MATCH("Years to stability",Assumptions!A:A,0))-1),MIN(15-1,INDEX(Assumptions!B:B,MATCH("Margin convergence",Assumptions!A:A,0)))/INDEX(Assumptions!B:B,MATCH("Margin convergence",Assumptions!A:A,0)))*(INDEX(Assumptions!B:B,MATCH("Stable net profit margin",Assumptions!A:A,0))-INDEX(Assumptions!B:B,MATCH("FY+1 net profit margin",Assumptions!A:A,0))))))</f>
      </c>
      <c r="R9" s="25">
        <f>=IF(16&gt;INDEX(Assumptions!B:B,MATCH("Years to stability",Assumptions!A:A,0))+1,"",IF(INDEX(Assumptions!B:B,MATCH("Margin convergence",Assumptions!A:A,0))=0,INDEX(Assumptions!B:B,MATCH("FY+1 net profit margin",Assumptions!A:A,0))+IF(INDEX(Assumptions!B:B,MATCH("Margin convergence",Assumptions!A:A,0))=0,(16-1)/(INDEX(Assumptions!B:B,MATCH("Years to stability",Assumptions!A:A,0))-1),MIN(16-1,INDEX(Assumptions!B:B,MATCH("Margin convergence",Assumptions!A:A,0)))/INDEX(Assumptions!B:B,MATCH("Margin convergence",Assumptions!A:A,0)))*(INDEX(Assumptions!B:B,MATCH("Stable net profit margin",Assumptions!A:A,0))-INDEX(Assumptions!B:B,MATCH("FY+1 net profit margin",Assumptions!A:A,0))),IF(16-1&gt;=INDEX(Assumptions!B:B,MATCH("Margin convergence",Assumptions!A:A,0)),INDEX(Assumptions!B:B,MATCH("Stable net profit margin",Assumptions!A:A,0)),INDEX(Assumptions!B:B,MATCH("FY+1 net profit margin",Assumptions!A:A,0))+IF(INDEX(Assumptions!B:B,MATCH("Margin convergence",Assumptions!A:A,0))=0,(16-1)/(INDEX(Assumptions!B:B,MATCH("Years to stability",Assumptions!A:A,0))-1),MIN(16-1,INDEX(Assumptions!B:B,MATCH("Margin convergence",Assumptions!A:A,0)))/INDEX(Assumptions!B:B,MATCH("Margin convergence",Assumptions!A:A,0)))*(INDEX(Assumptions!B:B,MATCH("Stable net profit margin",Assumptions!A:A,0))-INDEX(Assumptions!B:B,MATCH("FY+1 net profit margin",Assumptions!A:A,0))))))</f>
      </c>
      <c r="S9" s="25">
        <f>=IF(17&gt;INDEX(Assumptions!B:B,MATCH("Years to stability",Assumptions!A:A,0))+1,"",IF(INDEX(Assumptions!B:B,MATCH("Margin convergence",Assumptions!A:A,0))=0,INDEX(Assumptions!B:B,MATCH("FY+1 net profit margin",Assumptions!A:A,0))+IF(INDEX(Assumptions!B:B,MATCH("Margin convergence",Assumptions!A:A,0))=0,(17-1)/(INDEX(Assumptions!B:B,MATCH("Years to stability",Assumptions!A:A,0))-1),MIN(17-1,INDEX(Assumptions!B:B,MATCH("Margin convergence",Assumptions!A:A,0)))/INDEX(Assumptions!B:B,MATCH("Margin convergence",Assumptions!A:A,0)))*(INDEX(Assumptions!B:B,MATCH("Stable net profit margin",Assumptions!A:A,0))-INDEX(Assumptions!B:B,MATCH("FY+1 net profit margin",Assumptions!A:A,0))),IF(17-1&gt;=INDEX(Assumptions!B:B,MATCH("Margin convergence",Assumptions!A:A,0)),INDEX(Assumptions!B:B,MATCH("Stable net profit margin",Assumptions!A:A,0)),INDEX(Assumptions!B:B,MATCH("FY+1 net profit margin",Assumptions!A:A,0))+IF(INDEX(Assumptions!B:B,MATCH("Margin convergence",Assumptions!A:A,0))=0,(17-1)/(INDEX(Assumptions!B:B,MATCH("Years to stability",Assumptions!A:A,0))-1),MIN(17-1,INDEX(Assumptions!B:B,MATCH("Margin convergence",Assumptions!A:A,0)))/INDEX(Assumptions!B:B,MATCH("Margin convergence",Assumptions!A:A,0)))*(INDEX(Assumptions!B:B,MATCH("Stable net profit margin",Assumptions!A:A,0))-INDEX(Assumptions!B:B,MATCH("FY+1 net profit margin",Assumptions!A:A,0))))))</f>
      </c>
      <c r="T9" s="25">
        <f>=IF(18&gt;INDEX(Assumptions!B:B,MATCH("Years to stability",Assumptions!A:A,0))+1,"",IF(INDEX(Assumptions!B:B,MATCH("Margin convergence",Assumptions!A:A,0))=0,INDEX(Assumptions!B:B,MATCH("FY+1 net profit margin",Assumptions!A:A,0))+IF(INDEX(Assumptions!B:B,MATCH("Margin convergence",Assumptions!A:A,0))=0,(18-1)/(INDEX(Assumptions!B:B,MATCH("Years to stability",Assumptions!A:A,0))-1),MIN(18-1,INDEX(Assumptions!B:B,MATCH("Margin convergence",Assumptions!A:A,0)))/INDEX(Assumptions!B:B,MATCH("Margin convergence",Assumptions!A:A,0)))*(INDEX(Assumptions!B:B,MATCH("Stable net profit margin",Assumptions!A:A,0))-INDEX(Assumptions!B:B,MATCH("FY+1 net profit margin",Assumptions!A:A,0))),IF(18-1&gt;=INDEX(Assumptions!B:B,MATCH("Margin convergence",Assumptions!A:A,0)),INDEX(Assumptions!B:B,MATCH("Stable net profit margin",Assumptions!A:A,0)),INDEX(Assumptions!B:B,MATCH("FY+1 net profit margin",Assumptions!A:A,0))+IF(INDEX(Assumptions!B:B,MATCH("Margin convergence",Assumptions!A:A,0))=0,(18-1)/(INDEX(Assumptions!B:B,MATCH("Years to stability",Assumptions!A:A,0))-1),MIN(18-1,INDEX(Assumptions!B:B,MATCH("Margin convergence",Assumptions!A:A,0)))/INDEX(Assumptions!B:B,MATCH("Margin convergence",Assumptions!A:A,0)))*(INDEX(Assumptions!B:B,MATCH("Stable net profit margin",Assumptions!A:A,0))-INDEX(Assumptions!B:B,MATCH("FY+1 net profit margin",Assumptions!A:A,0))))))</f>
      </c>
      <c r="U9" s="25">
        <f>=IF(19&gt;INDEX(Assumptions!B:B,MATCH("Years to stability",Assumptions!A:A,0))+1,"",IF(INDEX(Assumptions!B:B,MATCH("Margin convergence",Assumptions!A:A,0))=0,INDEX(Assumptions!B:B,MATCH("FY+1 net profit margin",Assumptions!A:A,0))+IF(INDEX(Assumptions!B:B,MATCH("Margin convergence",Assumptions!A:A,0))=0,(19-1)/(INDEX(Assumptions!B:B,MATCH("Years to stability",Assumptions!A:A,0))-1),MIN(19-1,INDEX(Assumptions!B:B,MATCH("Margin convergence",Assumptions!A:A,0)))/INDEX(Assumptions!B:B,MATCH("Margin convergence",Assumptions!A:A,0)))*(INDEX(Assumptions!B:B,MATCH("Stable net profit margin",Assumptions!A:A,0))-INDEX(Assumptions!B:B,MATCH("FY+1 net profit margin",Assumptions!A:A,0))),IF(19-1&gt;=INDEX(Assumptions!B:B,MATCH("Margin convergence",Assumptions!A:A,0)),INDEX(Assumptions!B:B,MATCH("Stable net profit margin",Assumptions!A:A,0)),INDEX(Assumptions!B:B,MATCH("FY+1 net profit margin",Assumptions!A:A,0))+IF(INDEX(Assumptions!B:B,MATCH("Margin convergence",Assumptions!A:A,0))=0,(19-1)/(INDEX(Assumptions!B:B,MATCH("Years to stability",Assumptions!A:A,0))-1),MIN(19-1,INDEX(Assumptions!B:B,MATCH("Margin convergence",Assumptions!A:A,0)))/INDEX(Assumptions!B:B,MATCH("Margin convergence",Assumptions!A:A,0)))*(INDEX(Assumptions!B:B,MATCH("Stable net profit margin",Assumptions!A:A,0))-INDEX(Assumptions!B:B,MATCH("FY+1 net profit margin",Assumptions!A:A,0))))))</f>
      </c>
      <c r="V9" s="25">
        <f>=IF(20&gt;INDEX(Assumptions!B:B,MATCH("Years to stability",Assumptions!A:A,0))+1,"",IF(INDEX(Assumptions!B:B,MATCH("Margin convergence",Assumptions!A:A,0))=0,INDEX(Assumptions!B:B,MATCH("FY+1 net profit margin",Assumptions!A:A,0))+IF(INDEX(Assumptions!B:B,MATCH("Margin convergence",Assumptions!A:A,0))=0,(20-1)/(INDEX(Assumptions!B:B,MATCH("Years to stability",Assumptions!A:A,0))-1),MIN(20-1,INDEX(Assumptions!B:B,MATCH("Margin convergence",Assumptions!A:A,0)))/INDEX(Assumptions!B:B,MATCH("Margin convergence",Assumptions!A:A,0)))*(INDEX(Assumptions!B:B,MATCH("Stable net profit margin",Assumptions!A:A,0))-INDEX(Assumptions!B:B,MATCH("FY+1 net profit margin",Assumptions!A:A,0))),IF(20-1&gt;=INDEX(Assumptions!B:B,MATCH("Margin convergence",Assumptions!A:A,0)),INDEX(Assumptions!B:B,MATCH("Stable net profit margin",Assumptions!A:A,0)),INDEX(Assumptions!B:B,MATCH("FY+1 net profit margin",Assumptions!A:A,0))+IF(INDEX(Assumptions!B:B,MATCH("Margin convergence",Assumptions!A:A,0))=0,(20-1)/(INDEX(Assumptions!B:B,MATCH("Years to stability",Assumptions!A:A,0))-1),MIN(20-1,INDEX(Assumptions!B:B,MATCH("Margin convergence",Assumptions!A:A,0)))/INDEX(Assumptions!B:B,MATCH("Margin convergence",Assumptions!A:A,0)))*(INDEX(Assumptions!B:B,MATCH("Stable net profit margin",Assumptions!A:A,0))-INDEX(Assumptions!B:B,MATCH("FY+1 net profit margin",Assumptions!A:A,0))))))</f>
      </c>
      <c r="W9" s="25">
        <f>=IF(21&gt;INDEX(Assumptions!B:B,MATCH("Years to stability",Assumptions!A:A,0))+1,"",IF(INDEX(Assumptions!B:B,MATCH("Margin convergence",Assumptions!A:A,0))=0,INDEX(Assumptions!B:B,MATCH("FY+1 net profit margin",Assumptions!A:A,0))+IF(INDEX(Assumptions!B:B,MATCH("Margin convergence",Assumptions!A:A,0))=0,(21-1)/(INDEX(Assumptions!B:B,MATCH("Years to stability",Assumptions!A:A,0))-1),MIN(21-1,INDEX(Assumptions!B:B,MATCH("Margin convergence",Assumptions!A:A,0)))/INDEX(Assumptions!B:B,MATCH("Margin convergence",Assumptions!A:A,0)))*(INDEX(Assumptions!B:B,MATCH("Stable net profit margin",Assumptions!A:A,0))-INDEX(Assumptions!B:B,MATCH("FY+1 net profit margin",Assumptions!A:A,0))),IF(21-1&gt;=INDEX(Assumptions!B:B,MATCH("Margin convergence",Assumptions!A:A,0)),INDEX(Assumptions!B:B,MATCH("Stable net profit margin",Assumptions!A:A,0)),INDEX(Assumptions!B:B,MATCH("FY+1 net profit margin",Assumptions!A:A,0))+IF(INDEX(Assumptions!B:B,MATCH("Margin convergence",Assumptions!A:A,0))=0,(21-1)/(INDEX(Assumptions!B:B,MATCH("Years to stability",Assumptions!A:A,0))-1),MIN(21-1,INDEX(Assumptions!B:B,MATCH("Margin convergence",Assumptions!A:A,0)))/INDEX(Assumptions!B:B,MATCH("Margin convergence",Assumptions!A:A,0)))*(INDEX(Assumptions!B:B,MATCH("Stable net profit margin",Assumptions!A:A,0))-INDEX(Assumptions!B:B,MATCH("FY+1 net profit margin",Assumptions!A:A,0))))))</f>
      </c>
    </row>
    <row r="10" spans="1:23" x14ac:dyDescent="0.25">
      <c r="A10" s="11" t="s">
        <v>69</v>
      </c>
      <c r="B10" s="24">
        <f>=INDEX(Financials!B:B,MATCH("Reinvestment",Financials!A:A,0))</f>
      </c>
      <c r="C10" s="24">
        <f>=IF(1&lt;=INDEX(Assumptions!B:B,MATCH("Years to stability",Assumptions!A:A,0))+1,IF(1=INDEX(Assumptions!B:B,MATCH("Years to stability",Assumptions!A:A,0))+1,C8*INDEX(Assumptions!B:B,MATCH("Stable growth rate",Assumptions!A:A,0))/INDEX(Assumptions!B:B,MATCH("Stable ROE",Assumptions!A:A,0)),(C5-B5)/INDEX(Assumptions!B:B,MATCH("Sales-to-equity ratio",Assumptions!A:A,0))),"")</f>
      </c>
      <c r="D10" s="24">
        <f>=IF(2&lt;=INDEX(Assumptions!B:B,MATCH("Years to stability",Assumptions!A:A,0))+1,IF(2=INDEX(Assumptions!B:B,MATCH("Years to stability",Assumptions!A:A,0))+1,D8*INDEX(Assumptions!B:B,MATCH("Stable growth rate",Assumptions!A:A,0))/INDEX(Assumptions!B:B,MATCH("Stable ROE",Assumptions!A:A,0)),(D5-C5)/INDEX(Assumptions!B:B,MATCH("Sales-to-equity ratio",Assumptions!A:A,0))),"")</f>
      </c>
      <c r="E10" s="24">
        <f>=IF(3&lt;=INDEX(Assumptions!B:B,MATCH("Years to stability",Assumptions!A:A,0))+1,IF(3=INDEX(Assumptions!B:B,MATCH("Years to stability",Assumptions!A:A,0))+1,E8*INDEX(Assumptions!B:B,MATCH("Stable growth rate",Assumptions!A:A,0))/INDEX(Assumptions!B:B,MATCH("Stable ROE",Assumptions!A:A,0)),(E5-D5)/INDEX(Assumptions!B:B,MATCH("Sales-to-equity ratio",Assumptions!A:A,0))),"")</f>
      </c>
      <c r="F10" s="24">
        <f>=IF(4&lt;=INDEX(Assumptions!B:B,MATCH("Years to stability",Assumptions!A:A,0))+1,IF(4=INDEX(Assumptions!B:B,MATCH("Years to stability",Assumptions!A:A,0))+1,F8*INDEX(Assumptions!B:B,MATCH("Stable growth rate",Assumptions!A:A,0))/INDEX(Assumptions!B:B,MATCH("Stable ROE",Assumptions!A:A,0)),(F5-E5)/INDEX(Assumptions!B:B,MATCH("Sales-to-equity ratio",Assumptions!A:A,0))),"")</f>
      </c>
      <c r="G10" s="24">
        <f>=IF(5&lt;=INDEX(Assumptions!B:B,MATCH("Years to stability",Assumptions!A:A,0))+1,IF(5=INDEX(Assumptions!B:B,MATCH("Years to stability",Assumptions!A:A,0))+1,G8*INDEX(Assumptions!B:B,MATCH("Stable growth rate",Assumptions!A:A,0))/INDEX(Assumptions!B:B,MATCH("Stable ROE",Assumptions!A:A,0)),(G5-F5)/INDEX(Assumptions!B:B,MATCH("Sales-to-equity ratio",Assumptions!A:A,0))),"")</f>
      </c>
      <c r="H10" s="24">
        <f>=IF(6&lt;=INDEX(Assumptions!B:B,MATCH("Years to stability",Assumptions!A:A,0))+1,IF(6=INDEX(Assumptions!B:B,MATCH("Years to stability",Assumptions!A:A,0))+1,H8*INDEX(Assumptions!B:B,MATCH("Stable growth rate",Assumptions!A:A,0))/INDEX(Assumptions!B:B,MATCH("Stable ROE",Assumptions!A:A,0)),(H5-G5)/INDEX(Assumptions!B:B,MATCH("Sales-to-equity ratio",Assumptions!A:A,0))),"")</f>
      </c>
      <c r="I10" s="24">
        <f>=IF(7&lt;=INDEX(Assumptions!B:B,MATCH("Years to stability",Assumptions!A:A,0))+1,IF(7=INDEX(Assumptions!B:B,MATCH("Years to stability",Assumptions!A:A,0))+1,I8*INDEX(Assumptions!B:B,MATCH("Stable growth rate",Assumptions!A:A,0))/INDEX(Assumptions!B:B,MATCH("Stable ROE",Assumptions!A:A,0)),(I5-H5)/INDEX(Assumptions!B:B,MATCH("Sales-to-equity ratio",Assumptions!A:A,0))),"")</f>
      </c>
      <c r="J10" s="24">
        <f>=IF(8&lt;=INDEX(Assumptions!B:B,MATCH("Years to stability",Assumptions!A:A,0))+1,IF(8=INDEX(Assumptions!B:B,MATCH("Years to stability",Assumptions!A:A,0))+1,J8*INDEX(Assumptions!B:B,MATCH("Stable growth rate",Assumptions!A:A,0))/INDEX(Assumptions!B:B,MATCH("Stable ROE",Assumptions!A:A,0)),(J5-I5)/INDEX(Assumptions!B:B,MATCH("Sales-to-equity ratio",Assumptions!A:A,0))),"")</f>
      </c>
      <c r="K10" s="24">
        <f>=IF(9&lt;=INDEX(Assumptions!B:B,MATCH("Years to stability",Assumptions!A:A,0))+1,IF(9=INDEX(Assumptions!B:B,MATCH("Years to stability",Assumptions!A:A,0))+1,K8*INDEX(Assumptions!B:B,MATCH("Stable growth rate",Assumptions!A:A,0))/INDEX(Assumptions!B:B,MATCH("Stable ROE",Assumptions!A:A,0)),(K5-J5)/INDEX(Assumptions!B:B,MATCH("Sales-to-equity ratio",Assumptions!A:A,0))),"")</f>
      </c>
      <c r="L10" s="24">
        <f>=IF(10&lt;=INDEX(Assumptions!B:B,MATCH("Years to stability",Assumptions!A:A,0))+1,IF(10=INDEX(Assumptions!B:B,MATCH("Years to stability",Assumptions!A:A,0))+1,L8*INDEX(Assumptions!B:B,MATCH("Stable growth rate",Assumptions!A:A,0))/INDEX(Assumptions!B:B,MATCH("Stable ROE",Assumptions!A:A,0)),(L5-K5)/INDEX(Assumptions!B:B,MATCH("Sales-to-equity ratio",Assumptions!A:A,0))),"")</f>
      </c>
      <c r="M10" s="24">
        <f>=IF(11&lt;=INDEX(Assumptions!B:B,MATCH("Years to stability",Assumptions!A:A,0))+1,IF(11=INDEX(Assumptions!B:B,MATCH("Years to stability",Assumptions!A:A,0))+1,M8*INDEX(Assumptions!B:B,MATCH("Stable growth rate",Assumptions!A:A,0))/INDEX(Assumptions!B:B,MATCH("Stable ROE",Assumptions!A:A,0)),(M5-L5)/INDEX(Assumptions!B:B,MATCH("Sales-to-equity ratio",Assumptions!A:A,0))),"")</f>
      </c>
      <c r="N10" s="24">
        <f>=IF(12&lt;=INDEX(Assumptions!B:B,MATCH("Years to stability",Assumptions!A:A,0))+1,IF(12=INDEX(Assumptions!B:B,MATCH("Years to stability",Assumptions!A:A,0))+1,N8*INDEX(Assumptions!B:B,MATCH("Stable growth rate",Assumptions!A:A,0))/INDEX(Assumptions!B:B,MATCH("Stable ROE",Assumptions!A:A,0)),(N5-M5)/INDEX(Assumptions!B:B,MATCH("Sales-to-equity ratio",Assumptions!A:A,0))),"")</f>
      </c>
      <c r="O10" s="24">
        <f>=IF(13&lt;=INDEX(Assumptions!B:B,MATCH("Years to stability",Assumptions!A:A,0))+1,IF(13=INDEX(Assumptions!B:B,MATCH("Years to stability",Assumptions!A:A,0))+1,O8*INDEX(Assumptions!B:B,MATCH("Stable growth rate",Assumptions!A:A,0))/INDEX(Assumptions!B:B,MATCH("Stable ROE",Assumptions!A:A,0)),(O5-N5)/INDEX(Assumptions!B:B,MATCH("Sales-to-equity ratio",Assumptions!A:A,0))),"")</f>
      </c>
      <c r="P10" s="24">
        <f>=IF(14&lt;=INDEX(Assumptions!B:B,MATCH("Years to stability",Assumptions!A:A,0))+1,IF(14=INDEX(Assumptions!B:B,MATCH("Years to stability",Assumptions!A:A,0))+1,P8*INDEX(Assumptions!B:B,MATCH("Stable growth rate",Assumptions!A:A,0))/INDEX(Assumptions!B:B,MATCH("Stable ROE",Assumptions!A:A,0)),(P5-O5)/INDEX(Assumptions!B:B,MATCH("Sales-to-equity ratio",Assumptions!A:A,0))),"")</f>
      </c>
      <c r="Q10" s="24">
        <f>=IF(15&lt;=INDEX(Assumptions!B:B,MATCH("Years to stability",Assumptions!A:A,0))+1,IF(15=INDEX(Assumptions!B:B,MATCH("Years to stability",Assumptions!A:A,0))+1,Q8*INDEX(Assumptions!B:B,MATCH("Stable growth rate",Assumptions!A:A,0))/INDEX(Assumptions!B:B,MATCH("Stable ROE",Assumptions!A:A,0)),(Q5-P5)/INDEX(Assumptions!B:B,MATCH("Sales-to-equity ratio",Assumptions!A:A,0))),"")</f>
      </c>
      <c r="R10" s="24">
        <f>=IF(16&lt;=INDEX(Assumptions!B:B,MATCH("Years to stability",Assumptions!A:A,0))+1,IF(16=INDEX(Assumptions!B:B,MATCH("Years to stability",Assumptions!A:A,0))+1,R8*INDEX(Assumptions!B:B,MATCH("Stable growth rate",Assumptions!A:A,0))/INDEX(Assumptions!B:B,MATCH("Stable ROE",Assumptions!A:A,0)),(R5-Q5)/INDEX(Assumptions!B:B,MATCH("Sales-to-equity ratio",Assumptions!A:A,0))),"")</f>
      </c>
      <c r="S10" s="24">
        <f>=IF(17&lt;=INDEX(Assumptions!B:B,MATCH("Years to stability",Assumptions!A:A,0))+1,IF(17=INDEX(Assumptions!B:B,MATCH("Years to stability",Assumptions!A:A,0))+1,S8*INDEX(Assumptions!B:B,MATCH("Stable growth rate",Assumptions!A:A,0))/INDEX(Assumptions!B:B,MATCH("Stable ROE",Assumptions!A:A,0)),(S5-R5)/INDEX(Assumptions!B:B,MATCH("Sales-to-equity ratio",Assumptions!A:A,0))),"")</f>
      </c>
      <c r="T10" s="24">
        <f>=IF(18&lt;=INDEX(Assumptions!B:B,MATCH("Years to stability",Assumptions!A:A,0))+1,IF(18=INDEX(Assumptions!B:B,MATCH("Years to stability",Assumptions!A:A,0))+1,T8*INDEX(Assumptions!B:B,MATCH("Stable growth rate",Assumptions!A:A,0))/INDEX(Assumptions!B:B,MATCH("Stable ROE",Assumptions!A:A,0)),(T5-S5)/INDEX(Assumptions!B:B,MATCH("Sales-to-equity ratio",Assumptions!A:A,0))),"")</f>
      </c>
      <c r="U10" s="24">
        <f>=IF(19&lt;=INDEX(Assumptions!B:B,MATCH("Years to stability",Assumptions!A:A,0))+1,IF(19=INDEX(Assumptions!B:B,MATCH("Years to stability",Assumptions!A:A,0))+1,U8*INDEX(Assumptions!B:B,MATCH("Stable growth rate",Assumptions!A:A,0))/INDEX(Assumptions!B:B,MATCH("Stable ROE",Assumptions!A:A,0)),(U5-T5)/INDEX(Assumptions!B:B,MATCH("Sales-to-equity ratio",Assumptions!A:A,0))),"")</f>
      </c>
      <c r="V10" s="24">
        <f>=IF(20&lt;=INDEX(Assumptions!B:B,MATCH("Years to stability",Assumptions!A:A,0))+1,IF(20=INDEX(Assumptions!B:B,MATCH("Years to stability",Assumptions!A:A,0))+1,V8*INDEX(Assumptions!B:B,MATCH("Stable growth rate",Assumptions!A:A,0))/INDEX(Assumptions!B:B,MATCH("Stable ROE",Assumptions!A:A,0)),(V5-U5)/INDEX(Assumptions!B:B,MATCH("Sales-to-equity ratio",Assumptions!A:A,0))),"")</f>
      </c>
      <c r="W10" s="24">
        <f>=IF(21&lt;=INDEX(Assumptions!B:B,MATCH("Years to stability",Assumptions!A:A,0))+1,IF(21=INDEX(Assumptions!B:B,MATCH("Years to stability",Assumptions!A:A,0))+1,W8*INDEX(Assumptions!B:B,MATCH("Stable growth rate",Assumptions!A:A,0))/INDEX(Assumptions!B:B,MATCH("Stable ROE",Assumptions!A:A,0)),(W5-V5)/INDEX(Assumptions!B:B,MATCH("Sales-to-equity ratio",Assumptions!A:A,0))),"")</f>
      </c>
    </row>
    <row r="11" spans="1:23" x14ac:dyDescent="0.25">
      <c r="A11" s="11" t="s">
        <v>70</v>
      </c>
      <c r="B11" s="24">
        <f>=INDEX(Financials!B:B,MATCH("Adjusted Equity",Financials!A:A,0))</f>
      </c>
      <c r="C11" s="24">
        <f>=IF(1&lt;=INDEX(Assumptions!B:B,MATCH("Years to stability",Assumptions!A:A,0))+1,B11+C10,"")</f>
      </c>
      <c r="D11" s="24">
        <f>=IF(2&lt;=INDEX(Assumptions!B:B,MATCH("Years to stability",Assumptions!A:A,0))+1,C11+D10,"")</f>
      </c>
      <c r="E11" s="24">
        <f>=IF(3&lt;=INDEX(Assumptions!B:B,MATCH("Years to stability",Assumptions!A:A,0))+1,D11+E10,"")</f>
      </c>
      <c r="F11" s="24">
        <f>=IF(4&lt;=INDEX(Assumptions!B:B,MATCH("Years to stability",Assumptions!A:A,0))+1,E11+F10,"")</f>
      </c>
      <c r="G11" s="24">
        <f>=IF(5&lt;=INDEX(Assumptions!B:B,MATCH("Years to stability",Assumptions!A:A,0))+1,F11+G10,"")</f>
      </c>
      <c r="H11" s="24">
        <f>=IF(6&lt;=INDEX(Assumptions!B:B,MATCH("Years to stability",Assumptions!A:A,0))+1,G11+H10,"")</f>
      </c>
      <c r="I11" s="24">
        <f>=IF(7&lt;=INDEX(Assumptions!B:B,MATCH("Years to stability",Assumptions!A:A,0))+1,H11+I10,"")</f>
      </c>
      <c r="J11" s="24">
        <f>=IF(8&lt;=INDEX(Assumptions!B:B,MATCH("Years to stability",Assumptions!A:A,0))+1,I11+J10,"")</f>
      </c>
      <c r="K11" s="24">
        <f>=IF(9&lt;=INDEX(Assumptions!B:B,MATCH("Years to stability",Assumptions!A:A,0))+1,J11+K10,"")</f>
      </c>
      <c r="L11" s="24">
        <f>=IF(10&lt;=INDEX(Assumptions!B:B,MATCH("Years to stability",Assumptions!A:A,0))+1,K11+L10,"")</f>
      </c>
      <c r="M11" s="24">
        <f>=IF(11&lt;=INDEX(Assumptions!B:B,MATCH("Years to stability",Assumptions!A:A,0))+1,L11+M10,"")</f>
      </c>
      <c r="N11" s="24">
        <f>=IF(12&lt;=INDEX(Assumptions!B:B,MATCH("Years to stability",Assumptions!A:A,0))+1,M11+N10,"")</f>
      </c>
      <c r="O11" s="24">
        <f>=IF(13&lt;=INDEX(Assumptions!B:B,MATCH("Years to stability",Assumptions!A:A,0))+1,N11+O10,"")</f>
      </c>
      <c r="P11" s="24">
        <f>=IF(14&lt;=INDEX(Assumptions!B:B,MATCH("Years to stability",Assumptions!A:A,0))+1,O11+P10,"")</f>
      </c>
      <c r="Q11" s="24">
        <f>=IF(15&lt;=INDEX(Assumptions!B:B,MATCH("Years to stability",Assumptions!A:A,0))+1,P11+Q10,"")</f>
      </c>
      <c r="R11" s="24">
        <f>=IF(16&lt;=INDEX(Assumptions!B:B,MATCH("Years to stability",Assumptions!A:A,0))+1,Q11+R10,"")</f>
      </c>
      <c r="S11" s="24">
        <f>=IF(17&lt;=INDEX(Assumptions!B:B,MATCH("Years to stability",Assumptions!A:A,0))+1,R11+S10,"")</f>
      </c>
      <c r="T11" s="24">
        <f>=IF(18&lt;=INDEX(Assumptions!B:B,MATCH("Years to stability",Assumptions!A:A,0))+1,S11+T10,"")</f>
      </c>
      <c r="U11" s="24">
        <f>=IF(19&lt;=INDEX(Assumptions!B:B,MATCH("Years to stability",Assumptions!A:A,0))+1,T11+U10,"")</f>
      </c>
      <c r="V11" s="24">
        <f>=IF(20&lt;=INDEX(Assumptions!B:B,MATCH("Years to stability",Assumptions!A:A,0))+1,U11+V10,"")</f>
      </c>
      <c r="W11" s="24">
        <f>=IF(21&lt;=INDEX(Assumptions!B:B,MATCH("Years to stability",Assumptions!A:A,0))+1,V11+W10,"")</f>
      </c>
    </row>
    <row r="12" spans="1:23" x14ac:dyDescent="0.25">
      <c r="A12" s="11" t="s">
        <v>71</v>
      </c>
      <c r="B12" s="25">
        <f>=B8/B11</f>
      </c>
      <c r="C12" s="25">
        <f>=IF(1&gt;INDEX(Assumptions!B:B,MATCH("Years to stability",Assumptions!A:A,0))+1,"",IF(1=INDEX(Assumptions!B:B,MATCH("Years to stability",Assumptions!A:A,0))+1,INDEX(Assumptions!B:B,MATCH("Stable ROE",Assumptions!A:A,0)),C8/C11))</f>
      </c>
      <c r="D12" s="25">
        <f>=IF(2&gt;INDEX(Assumptions!B:B,MATCH("Years to stability",Assumptions!A:A,0))+1,"",IF(2=INDEX(Assumptions!B:B,MATCH("Years to stability",Assumptions!A:A,0))+1,INDEX(Assumptions!B:B,MATCH("Stable ROE",Assumptions!A:A,0)),D8/D11))</f>
      </c>
      <c r="E12" s="25">
        <f>=IF(3&gt;INDEX(Assumptions!B:B,MATCH("Years to stability",Assumptions!A:A,0))+1,"",IF(3=INDEX(Assumptions!B:B,MATCH("Years to stability",Assumptions!A:A,0))+1,INDEX(Assumptions!B:B,MATCH("Stable ROE",Assumptions!A:A,0)),E8/E11))</f>
      </c>
      <c r="F12" s="25">
        <f>=IF(4&gt;INDEX(Assumptions!B:B,MATCH("Years to stability",Assumptions!A:A,0))+1,"",IF(4=INDEX(Assumptions!B:B,MATCH("Years to stability",Assumptions!A:A,0))+1,INDEX(Assumptions!B:B,MATCH("Stable ROE",Assumptions!A:A,0)),F8/F11))</f>
      </c>
      <c r="G12" s="25">
        <f>=IF(5&gt;INDEX(Assumptions!B:B,MATCH("Years to stability",Assumptions!A:A,0))+1,"",IF(5=INDEX(Assumptions!B:B,MATCH("Years to stability",Assumptions!A:A,0))+1,INDEX(Assumptions!B:B,MATCH("Stable ROE",Assumptions!A:A,0)),G8/G11))</f>
      </c>
      <c r="H12" s="25">
        <f>=IF(6&gt;INDEX(Assumptions!B:B,MATCH("Years to stability",Assumptions!A:A,0))+1,"",IF(6=INDEX(Assumptions!B:B,MATCH("Years to stability",Assumptions!A:A,0))+1,INDEX(Assumptions!B:B,MATCH("Stable ROE",Assumptions!A:A,0)),H8/H11))</f>
      </c>
      <c r="I12" s="25">
        <f>=IF(7&gt;INDEX(Assumptions!B:B,MATCH("Years to stability",Assumptions!A:A,0))+1,"",IF(7=INDEX(Assumptions!B:B,MATCH("Years to stability",Assumptions!A:A,0))+1,INDEX(Assumptions!B:B,MATCH("Stable ROE",Assumptions!A:A,0)),I8/I11))</f>
      </c>
      <c r="J12" s="25">
        <f>=IF(8&gt;INDEX(Assumptions!B:B,MATCH("Years to stability",Assumptions!A:A,0))+1,"",IF(8=INDEX(Assumptions!B:B,MATCH("Years to stability",Assumptions!A:A,0))+1,INDEX(Assumptions!B:B,MATCH("Stable ROE",Assumptions!A:A,0)),J8/J11))</f>
      </c>
      <c r="K12" s="25">
        <f>=IF(9&gt;INDEX(Assumptions!B:B,MATCH("Years to stability",Assumptions!A:A,0))+1,"",IF(9=INDEX(Assumptions!B:B,MATCH("Years to stability",Assumptions!A:A,0))+1,INDEX(Assumptions!B:B,MATCH("Stable ROE",Assumptions!A:A,0)),K8/K11))</f>
      </c>
      <c r="L12" s="25">
        <f>=IF(10&gt;INDEX(Assumptions!B:B,MATCH("Years to stability",Assumptions!A:A,0))+1,"",IF(10=INDEX(Assumptions!B:B,MATCH("Years to stability",Assumptions!A:A,0))+1,INDEX(Assumptions!B:B,MATCH("Stable ROE",Assumptions!A:A,0)),L8/L11))</f>
      </c>
      <c r="M12" s="25">
        <f>=IF(11&gt;INDEX(Assumptions!B:B,MATCH("Years to stability",Assumptions!A:A,0))+1,"",IF(11=INDEX(Assumptions!B:B,MATCH("Years to stability",Assumptions!A:A,0))+1,INDEX(Assumptions!B:B,MATCH("Stable ROE",Assumptions!A:A,0)),M8/M11))</f>
      </c>
      <c r="N12" s="25">
        <f>=IF(12&gt;INDEX(Assumptions!B:B,MATCH("Years to stability",Assumptions!A:A,0))+1,"",IF(12=INDEX(Assumptions!B:B,MATCH("Years to stability",Assumptions!A:A,0))+1,INDEX(Assumptions!B:B,MATCH("Stable ROE",Assumptions!A:A,0)),N8/N11))</f>
      </c>
      <c r="O12" s="25">
        <f>=IF(13&gt;INDEX(Assumptions!B:B,MATCH("Years to stability",Assumptions!A:A,0))+1,"",IF(13=INDEX(Assumptions!B:B,MATCH("Years to stability",Assumptions!A:A,0))+1,INDEX(Assumptions!B:B,MATCH("Stable ROE",Assumptions!A:A,0)),O8/O11))</f>
      </c>
      <c r="P12" s="25">
        <f>=IF(14&gt;INDEX(Assumptions!B:B,MATCH("Years to stability",Assumptions!A:A,0))+1,"",IF(14=INDEX(Assumptions!B:B,MATCH("Years to stability",Assumptions!A:A,0))+1,INDEX(Assumptions!B:B,MATCH("Stable ROE",Assumptions!A:A,0)),P8/P11))</f>
      </c>
      <c r="Q12" s="25">
        <f>=IF(15&gt;INDEX(Assumptions!B:B,MATCH("Years to stability",Assumptions!A:A,0))+1,"",IF(15=INDEX(Assumptions!B:B,MATCH("Years to stability",Assumptions!A:A,0))+1,INDEX(Assumptions!B:B,MATCH("Stable ROE",Assumptions!A:A,0)),Q8/Q11))</f>
      </c>
      <c r="R12" s="25">
        <f>=IF(16&gt;INDEX(Assumptions!B:B,MATCH("Years to stability",Assumptions!A:A,0))+1,"",IF(16=INDEX(Assumptions!B:B,MATCH("Years to stability",Assumptions!A:A,0))+1,INDEX(Assumptions!B:B,MATCH("Stable ROE",Assumptions!A:A,0)),R8/R11))</f>
      </c>
      <c r="S12" s="25">
        <f>=IF(17&gt;INDEX(Assumptions!B:B,MATCH("Years to stability",Assumptions!A:A,0))+1,"",IF(17=INDEX(Assumptions!B:B,MATCH("Years to stability",Assumptions!A:A,0))+1,INDEX(Assumptions!B:B,MATCH("Stable ROE",Assumptions!A:A,0)),S8/S11))</f>
      </c>
      <c r="T12" s="25">
        <f>=IF(18&gt;INDEX(Assumptions!B:B,MATCH("Years to stability",Assumptions!A:A,0))+1,"",IF(18=INDEX(Assumptions!B:B,MATCH("Years to stability",Assumptions!A:A,0))+1,INDEX(Assumptions!B:B,MATCH("Stable ROE",Assumptions!A:A,0)),T8/T11))</f>
      </c>
      <c r="U12" s="25">
        <f>=IF(19&gt;INDEX(Assumptions!B:B,MATCH("Years to stability",Assumptions!A:A,0))+1,"",IF(19=INDEX(Assumptions!B:B,MATCH("Years to stability",Assumptions!A:A,0))+1,INDEX(Assumptions!B:B,MATCH("Stable ROE",Assumptions!A:A,0)),U8/U11))</f>
      </c>
      <c r="V12" s="25">
        <f>=IF(20&gt;INDEX(Assumptions!B:B,MATCH("Years to stability",Assumptions!A:A,0))+1,"",IF(20=INDEX(Assumptions!B:B,MATCH("Years to stability",Assumptions!A:A,0))+1,INDEX(Assumptions!B:B,MATCH("Stable ROE",Assumptions!A:A,0)),V8/V11))</f>
      </c>
      <c r="W12" s="25">
        <f>=IF(21&gt;INDEX(Assumptions!B:B,MATCH("Years to stability",Assumptions!A:A,0))+1,"",IF(21=INDEX(Assumptions!B:B,MATCH("Years to stability",Assumptions!A:A,0))+1,INDEX(Assumptions!B:B,MATCH("Stable ROE",Assumptions!A:A,0)),W8/W11))</f>
      </c>
    </row>
    <row r="13" spans="1:23" x14ac:dyDescent="0.25">
      <c r="A13" s="11" t="s">
        <v>72</v>
      </c>
      <c r="B13" s="26">
        <f>=INDEX(Financials!B:B,MATCH("Sales to Equity Ratio",Financials!A:A,0))</f>
      </c>
      <c r="C13" s="26">
        <f>=IF(1&lt;=INDEX(Assumptions!B:B,MATCH("Years to stability",Assumptions!A:A,0))+1,INDEX(Assumptions!B:B,MATCH("Sales-to-equity ratio",Assumptions!A:A,0)),"")</f>
      </c>
      <c r="D13" s="26">
        <f>=IF(2&lt;=INDEX(Assumptions!B:B,MATCH("Years to stability",Assumptions!A:A,0))+1,INDEX(Assumptions!B:B,MATCH("Sales-to-equity ratio",Assumptions!A:A,0)),"")</f>
      </c>
      <c r="E13" s="26">
        <f>=IF(3&lt;=INDEX(Assumptions!B:B,MATCH("Years to stability",Assumptions!A:A,0))+1,INDEX(Assumptions!B:B,MATCH("Sales-to-equity ratio",Assumptions!A:A,0)),"")</f>
      </c>
      <c r="F13" s="26">
        <f>=IF(4&lt;=INDEX(Assumptions!B:B,MATCH("Years to stability",Assumptions!A:A,0))+1,INDEX(Assumptions!B:B,MATCH("Sales-to-equity ratio",Assumptions!A:A,0)),"")</f>
      </c>
      <c r="G13" s="26">
        <f>=IF(5&lt;=INDEX(Assumptions!B:B,MATCH("Years to stability",Assumptions!A:A,0))+1,INDEX(Assumptions!B:B,MATCH("Sales-to-equity ratio",Assumptions!A:A,0)),"")</f>
      </c>
      <c r="H13" s="26">
        <f>=IF(6&lt;=INDEX(Assumptions!B:B,MATCH("Years to stability",Assumptions!A:A,0))+1,INDEX(Assumptions!B:B,MATCH("Sales-to-equity ratio",Assumptions!A:A,0)),"")</f>
      </c>
      <c r="I13" s="26">
        <f>=IF(7&lt;=INDEX(Assumptions!B:B,MATCH("Years to stability",Assumptions!A:A,0))+1,INDEX(Assumptions!B:B,MATCH("Sales-to-equity ratio",Assumptions!A:A,0)),"")</f>
      </c>
      <c r="J13" s="26">
        <f>=IF(8&lt;=INDEX(Assumptions!B:B,MATCH("Years to stability",Assumptions!A:A,0))+1,INDEX(Assumptions!B:B,MATCH("Sales-to-equity ratio",Assumptions!A:A,0)),"")</f>
      </c>
      <c r="K13" s="26">
        <f>=IF(9&lt;=INDEX(Assumptions!B:B,MATCH("Years to stability",Assumptions!A:A,0))+1,INDEX(Assumptions!B:B,MATCH("Sales-to-equity ratio",Assumptions!A:A,0)),"")</f>
      </c>
      <c r="L13" s="26">
        <f>=IF(10&lt;=INDEX(Assumptions!B:B,MATCH("Years to stability",Assumptions!A:A,0))+1,INDEX(Assumptions!B:B,MATCH("Sales-to-equity ratio",Assumptions!A:A,0)),"")</f>
      </c>
      <c r="M13" s="26">
        <f>=IF(11&lt;=INDEX(Assumptions!B:B,MATCH("Years to stability",Assumptions!A:A,0))+1,INDEX(Assumptions!B:B,MATCH("Sales-to-equity ratio",Assumptions!A:A,0)),"")</f>
      </c>
      <c r="N13" s="26">
        <f>=IF(12&lt;=INDEX(Assumptions!B:B,MATCH("Years to stability",Assumptions!A:A,0))+1,INDEX(Assumptions!B:B,MATCH("Sales-to-equity ratio",Assumptions!A:A,0)),"")</f>
      </c>
      <c r="O13" s="26">
        <f>=IF(13&lt;=INDEX(Assumptions!B:B,MATCH("Years to stability",Assumptions!A:A,0))+1,INDEX(Assumptions!B:B,MATCH("Sales-to-equity ratio",Assumptions!A:A,0)),"")</f>
      </c>
      <c r="P13" s="26">
        <f>=IF(14&lt;=INDEX(Assumptions!B:B,MATCH("Years to stability",Assumptions!A:A,0))+1,INDEX(Assumptions!B:B,MATCH("Sales-to-equity ratio",Assumptions!A:A,0)),"")</f>
      </c>
      <c r="Q13" s="26">
        <f>=IF(15&lt;=INDEX(Assumptions!B:B,MATCH("Years to stability",Assumptions!A:A,0))+1,INDEX(Assumptions!B:B,MATCH("Sales-to-equity ratio",Assumptions!A:A,0)),"")</f>
      </c>
      <c r="R13" s="26">
        <f>=IF(16&lt;=INDEX(Assumptions!B:B,MATCH("Years to stability",Assumptions!A:A,0))+1,INDEX(Assumptions!B:B,MATCH("Sales-to-equity ratio",Assumptions!A:A,0)),"")</f>
      </c>
      <c r="S13" s="26">
        <f>=IF(17&lt;=INDEX(Assumptions!B:B,MATCH("Years to stability",Assumptions!A:A,0))+1,INDEX(Assumptions!B:B,MATCH("Sales-to-equity ratio",Assumptions!A:A,0)),"")</f>
      </c>
      <c r="T13" s="26">
        <f>=IF(18&lt;=INDEX(Assumptions!B:B,MATCH("Years to stability",Assumptions!A:A,0))+1,INDEX(Assumptions!B:B,MATCH("Sales-to-equity ratio",Assumptions!A:A,0)),"")</f>
      </c>
      <c r="U13" s="26">
        <f>=IF(19&lt;=INDEX(Assumptions!B:B,MATCH("Years to stability",Assumptions!A:A,0))+1,INDEX(Assumptions!B:B,MATCH("Sales-to-equity ratio",Assumptions!A:A,0)),"")</f>
      </c>
      <c r="V13" s="26">
        <f>=IF(20&lt;=INDEX(Assumptions!B:B,MATCH("Years to stability",Assumptions!A:A,0))+1,INDEX(Assumptions!B:B,MATCH("Sales-to-equity ratio",Assumptions!A:A,0)),"")</f>
      </c>
      <c r="W13" s="26">
        <f>=IF(21&lt;=INDEX(Assumptions!B:B,MATCH("Years to stability",Assumptions!A:A,0))+1,INDEX(Assumptions!B:B,MATCH("Sales-to-equity ratio",Assumptions!A:A,0)),"")</f>
      </c>
    </row>
    <row r="14" spans="1:23" x14ac:dyDescent="0.25">
      <c r="A14" s="11" t="s">
        <v>73</v>
      </c>
      <c r="B14" s="24">
        <f>=B8-B10</f>
      </c>
      <c r="C14" s="24">
        <f>=IF(1&lt;=INDEX(Assumptions!B:B,MATCH("Years to stability",Assumptions!A:A,0))+1,C8-C10,"")</f>
      </c>
      <c r="D14" s="24">
        <f>=IF(2&lt;=INDEX(Assumptions!B:B,MATCH("Years to stability",Assumptions!A:A,0))+1,D8-D10,"")</f>
      </c>
      <c r="E14" s="24">
        <f>=IF(3&lt;=INDEX(Assumptions!B:B,MATCH("Years to stability",Assumptions!A:A,0))+1,E8-E10,"")</f>
      </c>
      <c r="F14" s="24">
        <f>=IF(4&lt;=INDEX(Assumptions!B:B,MATCH("Years to stability",Assumptions!A:A,0))+1,F8-F10,"")</f>
      </c>
      <c r="G14" s="24">
        <f>=IF(5&lt;=INDEX(Assumptions!B:B,MATCH("Years to stability",Assumptions!A:A,0))+1,G8-G10,"")</f>
      </c>
      <c r="H14" s="24">
        <f>=IF(6&lt;=INDEX(Assumptions!B:B,MATCH("Years to stability",Assumptions!A:A,0))+1,H8-H10,"")</f>
      </c>
      <c r="I14" s="24">
        <f>=IF(7&lt;=INDEX(Assumptions!B:B,MATCH("Years to stability",Assumptions!A:A,0))+1,I8-I10,"")</f>
      </c>
      <c r="J14" s="24">
        <f>=IF(8&lt;=INDEX(Assumptions!B:B,MATCH("Years to stability",Assumptions!A:A,0))+1,J8-J10,"")</f>
      </c>
      <c r="K14" s="24">
        <f>=IF(9&lt;=INDEX(Assumptions!B:B,MATCH("Years to stability",Assumptions!A:A,0))+1,K8-K10,"")</f>
      </c>
      <c r="L14" s="24">
        <f>=IF(10&lt;=INDEX(Assumptions!B:B,MATCH("Years to stability",Assumptions!A:A,0))+1,L8-L10,"")</f>
      </c>
      <c r="M14" s="24">
        <f>=IF(11&lt;=INDEX(Assumptions!B:B,MATCH("Years to stability",Assumptions!A:A,0))+1,M8-M10,"")</f>
      </c>
      <c r="N14" s="24">
        <f>=IF(12&lt;=INDEX(Assumptions!B:B,MATCH("Years to stability",Assumptions!A:A,0))+1,N8-N10,"")</f>
      </c>
      <c r="O14" s="24">
        <f>=IF(13&lt;=INDEX(Assumptions!B:B,MATCH("Years to stability",Assumptions!A:A,0))+1,O8-O10,"")</f>
      </c>
      <c r="P14" s="24">
        <f>=IF(14&lt;=INDEX(Assumptions!B:B,MATCH("Years to stability",Assumptions!A:A,0))+1,P8-P10,"")</f>
      </c>
      <c r="Q14" s="24">
        <f>=IF(15&lt;=INDEX(Assumptions!B:B,MATCH("Years to stability",Assumptions!A:A,0))+1,Q8-Q10,"")</f>
      </c>
      <c r="R14" s="24">
        <f>=IF(16&lt;=INDEX(Assumptions!B:B,MATCH("Years to stability",Assumptions!A:A,0))+1,R8-R10,"")</f>
      </c>
      <c r="S14" s="24">
        <f>=IF(17&lt;=INDEX(Assumptions!B:B,MATCH("Years to stability",Assumptions!A:A,0))+1,S8-S10,"")</f>
      </c>
      <c r="T14" s="24">
        <f>=IF(18&lt;=INDEX(Assumptions!B:B,MATCH("Years to stability",Assumptions!A:A,0))+1,T8-T10,"")</f>
      </c>
      <c r="U14" s="24">
        <f>=IF(19&lt;=INDEX(Assumptions!B:B,MATCH("Years to stability",Assumptions!A:A,0))+1,U8-U10,"")</f>
      </c>
      <c r="V14" s="24">
        <f>=IF(20&lt;=INDEX(Assumptions!B:B,MATCH("Years to stability",Assumptions!A:A,0))+1,V8-V10,"")</f>
      </c>
      <c r="W14" s="24">
        <f>=IF(21&lt;=INDEX(Assumptions!B:B,MATCH("Years to stability",Assumptions!A:A,0))+1,W8-W10,"")</f>
      </c>
    </row>
    <row r="15" spans="1:23" x14ac:dyDescent="0.25">
      <c r="A15" s="11" t="s">
        <v>74</v>
      </c>
      <c r="B15" s="12"/>
      <c r="C15" s="24">
        <f>=IF(1=INDEX(Assumptions!B:B,MATCH("Years to stability",Assumptions!A:A,0))+1,C14/(LOOKUP(2,1/('Cost of equity'!A:A="Stable cost of equity"),'Cost of equity'!B:B)-INDEX(Assumptions!B:B,MATCH("Stable growth rate",Assumptions!A:A,0))),"")</f>
      </c>
      <c r="D15" s="24">
        <f>=IF(2=INDEX(Assumptions!B:B,MATCH("Years to stability",Assumptions!A:A,0))+1,D14/(LOOKUP(2,1/('Cost of equity'!A:A="Stable cost of equity"),'Cost of equity'!B:B)-INDEX(Assumptions!B:B,MATCH("Stable growth rate",Assumptions!A:A,0))),"")</f>
      </c>
      <c r="E15" s="24">
        <f>=IF(3=INDEX(Assumptions!B:B,MATCH("Years to stability",Assumptions!A:A,0))+1,E14/(LOOKUP(2,1/('Cost of equity'!A:A="Stable cost of equity"),'Cost of equity'!B:B)-INDEX(Assumptions!B:B,MATCH("Stable growth rate",Assumptions!A:A,0))),"")</f>
      </c>
      <c r="F15" s="24">
        <f>=IF(4=INDEX(Assumptions!B:B,MATCH("Years to stability",Assumptions!A:A,0))+1,F14/(LOOKUP(2,1/('Cost of equity'!A:A="Stable cost of equity"),'Cost of equity'!B:B)-INDEX(Assumptions!B:B,MATCH("Stable growth rate",Assumptions!A:A,0))),"")</f>
      </c>
      <c r="G15" s="24">
        <f>=IF(5=INDEX(Assumptions!B:B,MATCH("Years to stability",Assumptions!A:A,0))+1,G14/(LOOKUP(2,1/('Cost of equity'!A:A="Stable cost of equity"),'Cost of equity'!B:B)-INDEX(Assumptions!B:B,MATCH("Stable growth rate",Assumptions!A:A,0))),"")</f>
      </c>
      <c r="H15" s="24">
        <f>=IF(6=INDEX(Assumptions!B:B,MATCH("Years to stability",Assumptions!A:A,0))+1,H14/(LOOKUP(2,1/('Cost of equity'!A:A="Stable cost of equity"),'Cost of equity'!B:B)-INDEX(Assumptions!B:B,MATCH("Stable growth rate",Assumptions!A:A,0))),"")</f>
      </c>
      <c r="I15" s="24">
        <f>=IF(7=INDEX(Assumptions!B:B,MATCH("Years to stability",Assumptions!A:A,0))+1,I14/(LOOKUP(2,1/('Cost of equity'!A:A="Stable cost of equity"),'Cost of equity'!B:B)-INDEX(Assumptions!B:B,MATCH("Stable growth rate",Assumptions!A:A,0))),"")</f>
      </c>
      <c r="J15" s="24">
        <f>=IF(8=INDEX(Assumptions!B:B,MATCH("Years to stability",Assumptions!A:A,0))+1,J14/(LOOKUP(2,1/('Cost of equity'!A:A="Stable cost of equity"),'Cost of equity'!B:B)-INDEX(Assumptions!B:B,MATCH("Stable growth rate",Assumptions!A:A,0))),"")</f>
      </c>
      <c r="K15" s="24">
        <f>=IF(9=INDEX(Assumptions!B:B,MATCH("Years to stability",Assumptions!A:A,0))+1,K14/(LOOKUP(2,1/('Cost of equity'!A:A="Stable cost of equity"),'Cost of equity'!B:B)-INDEX(Assumptions!B:B,MATCH("Stable growth rate",Assumptions!A:A,0))),"")</f>
      </c>
      <c r="L15" s="24">
        <f>=IF(10=INDEX(Assumptions!B:B,MATCH("Years to stability",Assumptions!A:A,0))+1,L14/(LOOKUP(2,1/('Cost of equity'!A:A="Stable cost of equity"),'Cost of equity'!B:B)-INDEX(Assumptions!B:B,MATCH("Stable growth rate",Assumptions!A:A,0))),"")</f>
      </c>
      <c r="M15" s="24">
        <f>=IF(11=INDEX(Assumptions!B:B,MATCH("Years to stability",Assumptions!A:A,0))+1,M14/(LOOKUP(2,1/('Cost of equity'!A:A="Stable cost of equity"),'Cost of equity'!B:B)-INDEX(Assumptions!B:B,MATCH("Stable growth rate",Assumptions!A:A,0))),"")</f>
      </c>
      <c r="N15" s="24">
        <f>=IF(12=INDEX(Assumptions!B:B,MATCH("Years to stability",Assumptions!A:A,0))+1,N14/(LOOKUP(2,1/('Cost of equity'!A:A="Stable cost of equity"),'Cost of equity'!B:B)-INDEX(Assumptions!B:B,MATCH("Stable growth rate",Assumptions!A:A,0))),"")</f>
      </c>
      <c r="O15" s="24">
        <f>=IF(13=INDEX(Assumptions!B:B,MATCH("Years to stability",Assumptions!A:A,0))+1,O14/(LOOKUP(2,1/('Cost of equity'!A:A="Stable cost of equity"),'Cost of equity'!B:B)-INDEX(Assumptions!B:B,MATCH("Stable growth rate",Assumptions!A:A,0))),"")</f>
      </c>
      <c r="P15" s="24">
        <f>=IF(14=INDEX(Assumptions!B:B,MATCH("Years to stability",Assumptions!A:A,0))+1,P14/(LOOKUP(2,1/('Cost of equity'!A:A="Stable cost of equity"),'Cost of equity'!B:B)-INDEX(Assumptions!B:B,MATCH("Stable growth rate",Assumptions!A:A,0))),"")</f>
      </c>
      <c r="Q15" s="24">
        <f>=IF(15=INDEX(Assumptions!B:B,MATCH("Years to stability",Assumptions!A:A,0))+1,Q14/(LOOKUP(2,1/('Cost of equity'!A:A="Stable cost of equity"),'Cost of equity'!B:B)-INDEX(Assumptions!B:B,MATCH("Stable growth rate",Assumptions!A:A,0))),"")</f>
      </c>
      <c r="R15" s="24">
        <f>=IF(16=INDEX(Assumptions!B:B,MATCH("Years to stability",Assumptions!A:A,0))+1,R14/(LOOKUP(2,1/('Cost of equity'!A:A="Stable cost of equity"),'Cost of equity'!B:B)-INDEX(Assumptions!B:B,MATCH("Stable growth rate",Assumptions!A:A,0))),"")</f>
      </c>
      <c r="S15" s="24">
        <f>=IF(17=INDEX(Assumptions!B:B,MATCH("Years to stability",Assumptions!A:A,0))+1,S14/(LOOKUP(2,1/('Cost of equity'!A:A="Stable cost of equity"),'Cost of equity'!B:B)-INDEX(Assumptions!B:B,MATCH("Stable growth rate",Assumptions!A:A,0))),"")</f>
      </c>
      <c r="T15" s="24">
        <f>=IF(18=INDEX(Assumptions!B:B,MATCH("Years to stability",Assumptions!A:A,0))+1,T14/(LOOKUP(2,1/('Cost of equity'!A:A="Stable cost of equity"),'Cost of equity'!B:B)-INDEX(Assumptions!B:B,MATCH("Stable growth rate",Assumptions!A:A,0))),"")</f>
      </c>
      <c r="U15" s="24">
        <f>=IF(19=INDEX(Assumptions!B:B,MATCH("Years to stability",Assumptions!A:A,0))+1,U14/(LOOKUP(2,1/('Cost of equity'!A:A="Stable cost of equity"),'Cost of equity'!B:B)-INDEX(Assumptions!B:B,MATCH("Stable growth rate",Assumptions!A:A,0))),"")</f>
      </c>
      <c r="V15" s="24">
        <f>=IF(20=INDEX(Assumptions!B:B,MATCH("Years to stability",Assumptions!A:A,0))+1,V14/(LOOKUP(2,1/('Cost of equity'!A:A="Stable cost of equity"),'Cost of equity'!B:B)-INDEX(Assumptions!B:B,MATCH("Stable growth rate",Assumptions!A:A,0))),"")</f>
      </c>
      <c r="W15" s="24">
        <f>=IF(21=INDEX(Assumptions!B:B,MATCH("Years to stability",Assumptions!A:A,0))+1,W14/(LOOKUP(2,1/('Cost of equity'!A:A="Stable cost of equity"),'Cost of equity'!B:B)-INDEX(Assumptions!B:B,MATCH("Stable growth rate",Assumptions!A:A,0))),"")</f>
      </c>
    </row>
    <row r="16" spans="1:23" x14ac:dyDescent="0.25">
      <c r="A16" s="11" t="s">
        <v>75</v>
      </c>
      <c r="B16" s="12"/>
      <c r="C16" s="24">
        <f>=IF(1&gt;INDEX(Assumptions!B:B,MATCH("Years to stability",Assumptions!A:A,0))+1,"",IF(1=INDEX(Assumptions!B:B,MATCH("Years to stability",Assumptions!A:A,0))+1,C15,C14))</f>
      </c>
      <c r="D16" s="24">
        <f>=IF(2&gt;INDEX(Assumptions!B:B,MATCH("Years to stability",Assumptions!A:A,0))+1,"",IF(2=INDEX(Assumptions!B:B,MATCH("Years to stability",Assumptions!A:A,0))+1,D15,D14))</f>
      </c>
      <c r="E16" s="24">
        <f>=IF(3&gt;INDEX(Assumptions!B:B,MATCH("Years to stability",Assumptions!A:A,0))+1,"",IF(3=INDEX(Assumptions!B:B,MATCH("Years to stability",Assumptions!A:A,0))+1,E15,E14))</f>
      </c>
      <c r="F16" s="24">
        <f>=IF(4&gt;INDEX(Assumptions!B:B,MATCH("Years to stability",Assumptions!A:A,0))+1,"",IF(4=INDEX(Assumptions!B:B,MATCH("Years to stability",Assumptions!A:A,0))+1,F15,F14))</f>
      </c>
      <c r="G16" s="24">
        <f>=IF(5&gt;INDEX(Assumptions!B:B,MATCH("Years to stability",Assumptions!A:A,0))+1,"",IF(5=INDEX(Assumptions!B:B,MATCH("Years to stability",Assumptions!A:A,0))+1,G15,G14))</f>
      </c>
      <c r="H16" s="24">
        <f>=IF(6&gt;INDEX(Assumptions!B:B,MATCH("Years to stability",Assumptions!A:A,0))+1,"",IF(6=INDEX(Assumptions!B:B,MATCH("Years to stability",Assumptions!A:A,0))+1,H15,H14))</f>
      </c>
      <c r="I16" s="24">
        <f>=IF(7&gt;INDEX(Assumptions!B:B,MATCH("Years to stability",Assumptions!A:A,0))+1,"",IF(7=INDEX(Assumptions!B:B,MATCH("Years to stability",Assumptions!A:A,0))+1,I15,I14))</f>
      </c>
      <c r="J16" s="24">
        <f>=IF(8&gt;INDEX(Assumptions!B:B,MATCH("Years to stability",Assumptions!A:A,0))+1,"",IF(8=INDEX(Assumptions!B:B,MATCH("Years to stability",Assumptions!A:A,0))+1,J15,J14))</f>
      </c>
      <c r="K16" s="24">
        <f>=IF(9&gt;INDEX(Assumptions!B:B,MATCH("Years to stability",Assumptions!A:A,0))+1,"",IF(9=INDEX(Assumptions!B:B,MATCH("Years to stability",Assumptions!A:A,0))+1,K15,K14))</f>
      </c>
      <c r="L16" s="24">
        <f>=IF(10&gt;INDEX(Assumptions!B:B,MATCH("Years to stability",Assumptions!A:A,0))+1,"",IF(10=INDEX(Assumptions!B:B,MATCH("Years to stability",Assumptions!A:A,0))+1,L15,L14))</f>
      </c>
      <c r="M16" s="24">
        <f>=IF(11&gt;INDEX(Assumptions!B:B,MATCH("Years to stability",Assumptions!A:A,0))+1,"",IF(11=INDEX(Assumptions!B:B,MATCH("Years to stability",Assumptions!A:A,0))+1,M15,M14))</f>
      </c>
      <c r="N16" s="24">
        <f>=IF(12&gt;INDEX(Assumptions!B:B,MATCH("Years to stability",Assumptions!A:A,0))+1,"",IF(12=INDEX(Assumptions!B:B,MATCH("Years to stability",Assumptions!A:A,0))+1,N15,N14))</f>
      </c>
      <c r="O16" s="24">
        <f>=IF(13&gt;INDEX(Assumptions!B:B,MATCH("Years to stability",Assumptions!A:A,0))+1,"",IF(13=INDEX(Assumptions!B:B,MATCH("Years to stability",Assumptions!A:A,0))+1,O15,O14))</f>
      </c>
      <c r="P16" s="24">
        <f>=IF(14&gt;INDEX(Assumptions!B:B,MATCH("Years to stability",Assumptions!A:A,0))+1,"",IF(14=INDEX(Assumptions!B:B,MATCH("Years to stability",Assumptions!A:A,0))+1,P15,P14))</f>
      </c>
      <c r="Q16" s="24">
        <f>=IF(15&gt;INDEX(Assumptions!B:B,MATCH("Years to stability",Assumptions!A:A,0))+1,"",IF(15=INDEX(Assumptions!B:B,MATCH("Years to stability",Assumptions!A:A,0))+1,Q15,Q14))</f>
      </c>
      <c r="R16" s="24">
        <f>=IF(16&gt;INDEX(Assumptions!B:B,MATCH("Years to stability",Assumptions!A:A,0))+1,"",IF(16=INDEX(Assumptions!B:B,MATCH("Years to stability",Assumptions!A:A,0))+1,R15,R14))</f>
      </c>
      <c r="S16" s="24">
        <f>=IF(17&gt;INDEX(Assumptions!B:B,MATCH("Years to stability",Assumptions!A:A,0))+1,"",IF(17=INDEX(Assumptions!B:B,MATCH("Years to stability",Assumptions!A:A,0))+1,S15,S14))</f>
      </c>
      <c r="T16" s="24">
        <f>=IF(18&gt;INDEX(Assumptions!B:B,MATCH("Years to stability",Assumptions!A:A,0))+1,"",IF(18=INDEX(Assumptions!B:B,MATCH("Years to stability",Assumptions!A:A,0))+1,T15,T14))</f>
      </c>
      <c r="U16" s="24">
        <f>=IF(19&gt;INDEX(Assumptions!B:B,MATCH("Years to stability",Assumptions!A:A,0))+1,"",IF(19=INDEX(Assumptions!B:B,MATCH("Years to stability",Assumptions!A:A,0))+1,U15,U14))</f>
      </c>
      <c r="V16" s="24">
        <f>=IF(20&gt;INDEX(Assumptions!B:B,MATCH("Years to stability",Assumptions!A:A,0))+1,"",IF(20=INDEX(Assumptions!B:B,MATCH("Years to stability",Assumptions!A:A,0))+1,V15,V14))</f>
      </c>
      <c r="W16" s="24">
        <f>=IF(21&gt;INDEX(Assumptions!B:B,MATCH("Years to stability",Assumptions!A:A,0))+1,"",IF(21=INDEX(Assumptions!B:B,MATCH("Years to stability",Assumptions!A:A,0))+1,W15,W14))</f>
      </c>
    </row>
    <row r="17" spans="1:23" x14ac:dyDescent="0.25">
      <c r="A17" s="11" t="s">
        <v>76</v>
      </c>
      <c r="B17" s="12"/>
      <c r="C17" s="27">
        <f>=IF(1&lt;=INDEX(Assumptions!B:B,MATCH("Years to stability",Assumptions!A:A,0))+1,(1+C18)^-MAX(0,(INDEX(Summary!B:B,MATCH("Latest financials date",Summary!A:A,0))+365-INDEX(Summary!B:B,MATCH("Valuation date",Summary!A:A,0)))/365),"")</f>
      </c>
      <c r="D17" s="27">
        <f>=IF(2&lt;=INDEX(Assumptions!B:B,MATCH("Years to stability",Assumptions!A:A,0))+1,IF(2=INDEX(Assumptions!B:B,MATCH("Years to stability",Assumptions!A:A,0))+1,C17,C17/(1+D18)),"")</f>
      </c>
      <c r="E17" s="27">
        <f>=IF(3&lt;=INDEX(Assumptions!B:B,MATCH("Years to stability",Assumptions!A:A,0))+1,IF(3=INDEX(Assumptions!B:B,MATCH("Years to stability",Assumptions!A:A,0))+1,D17,D17/(1+E18)),"")</f>
      </c>
      <c r="F17" s="27">
        <f>=IF(4&lt;=INDEX(Assumptions!B:B,MATCH("Years to stability",Assumptions!A:A,0))+1,IF(4=INDEX(Assumptions!B:B,MATCH("Years to stability",Assumptions!A:A,0))+1,E17,E17/(1+F18)),"")</f>
      </c>
      <c r="G17" s="27">
        <f>=IF(5&lt;=INDEX(Assumptions!B:B,MATCH("Years to stability",Assumptions!A:A,0))+1,IF(5=INDEX(Assumptions!B:B,MATCH("Years to stability",Assumptions!A:A,0))+1,F17,F17/(1+G18)),"")</f>
      </c>
      <c r="H17" s="27">
        <f>=IF(6&lt;=INDEX(Assumptions!B:B,MATCH("Years to stability",Assumptions!A:A,0))+1,IF(6=INDEX(Assumptions!B:B,MATCH("Years to stability",Assumptions!A:A,0))+1,G17,G17/(1+H18)),"")</f>
      </c>
      <c r="I17" s="27">
        <f>=IF(7&lt;=INDEX(Assumptions!B:B,MATCH("Years to stability",Assumptions!A:A,0))+1,IF(7=INDEX(Assumptions!B:B,MATCH("Years to stability",Assumptions!A:A,0))+1,H17,H17/(1+I18)),"")</f>
      </c>
      <c r="J17" s="27">
        <f>=IF(8&lt;=INDEX(Assumptions!B:B,MATCH("Years to stability",Assumptions!A:A,0))+1,IF(8=INDEX(Assumptions!B:B,MATCH("Years to stability",Assumptions!A:A,0))+1,I17,I17/(1+J18)),"")</f>
      </c>
      <c r="K17" s="27">
        <f>=IF(9&lt;=INDEX(Assumptions!B:B,MATCH("Years to stability",Assumptions!A:A,0))+1,IF(9=INDEX(Assumptions!B:B,MATCH("Years to stability",Assumptions!A:A,0))+1,J17,J17/(1+K18)),"")</f>
      </c>
      <c r="L17" s="27">
        <f>=IF(10&lt;=INDEX(Assumptions!B:B,MATCH("Years to stability",Assumptions!A:A,0))+1,IF(10=INDEX(Assumptions!B:B,MATCH("Years to stability",Assumptions!A:A,0))+1,K17,K17/(1+L18)),"")</f>
      </c>
      <c r="M17" s="27">
        <f>=IF(11&lt;=INDEX(Assumptions!B:B,MATCH("Years to stability",Assumptions!A:A,0))+1,IF(11=INDEX(Assumptions!B:B,MATCH("Years to stability",Assumptions!A:A,0))+1,L17,L17/(1+M18)),"")</f>
      </c>
      <c r="N17" s="27">
        <f>=IF(12&lt;=INDEX(Assumptions!B:B,MATCH("Years to stability",Assumptions!A:A,0))+1,IF(12=INDEX(Assumptions!B:B,MATCH("Years to stability",Assumptions!A:A,0))+1,M17,M17/(1+N18)),"")</f>
      </c>
      <c r="O17" s="27">
        <f>=IF(13&lt;=INDEX(Assumptions!B:B,MATCH("Years to stability",Assumptions!A:A,0))+1,IF(13=INDEX(Assumptions!B:B,MATCH("Years to stability",Assumptions!A:A,0))+1,N17,N17/(1+O18)),"")</f>
      </c>
      <c r="P17" s="27">
        <f>=IF(14&lt;=INDEX(Assumptions!B:B,MATCH("Years to stability",Assumptions!A:A,0))+1,IF(14=INDEX(Assumptions!B:B,MATCH("Years to stability",Assumptions!A:A,0))+1,O17,O17/(1+P18)),"")</f>
      </c>
      <c r="Q17" s="27">
        <f>=IF(15&lt;=INDEX(Assumptions!B:B,MATCH("Years to stability",Assumptions!A:A,0))+1,IF(15=INDEX(Assumptions!B:B,MATCH("Years to stability",Assumptions!A:A,0))+1,P17,P17/(1+Q18)),"")</f>
      </c>
      <c r="R17" s="27">
        <f>=IF(16&lt;=INDEX(Assumptions!B:B,MATCH("Years to stability",Assumptions!A:A,0))+1,IF(16=INDEX(Assumptions!B:B,MATCH("Years to stability",Assumptions!A:A,0))+1,Q17,Q17/(1+R18)),"")</f>
      </c>
      <c r="S17" s="27">
        <f>=IF(17&lt;=INDEX(Assumptions!B:B,MATCH("Years to stability",Assumptions!A:A,0))+1,IF(17=INDEX(Assumptions!B:B,MATCH("Years to stability",Assumptions!A:A,0))+1,R17,R17/(1+S18)),"")</f>
      </c>
      <c r="T17" s="27">
        <f>=IF(18&lt;=INDEX(Assumptions!B:B,MATCH("Years to stability",Assumptions!A:A,0))+1,IF(18=INDEX(Assumptions!B:B,MATCH("Years to stability",Assumptions!A:A,0))+1,S17,S17/(1+T18)),"")</f>
      </c>
      <c r="U17" s="27">
        <f>=IF(19&lt;=INDEX(Assumptions!B:B,MATCH("Years to stability",Assumptions!A:A,0))+1,IF(19=INDEX(Assumptions!B:B,MATCH("Years to stability",Assumptions!A:A,0))+1,T17,T17/(1+U18)),"")</f>
      </c>
      <c r="V17" s="27">
        <f>=IF(20&lt;=INDEX(Assumptions!B:B,MATCH("Years to stability",Assumptions!A:A,0))+1,IF(20=INDEX(Assumptions!B:B,MATCH("Years to stability",Assumptions!A:A,0))+1,U17,U17/(1+V18)),"")</f>
      </c>
      <c r="W17" s="27">
        <f>=IF(21&lt;=INDEX(Assumptions!B:B,MATCH("Years to stability",Assumptions!A:A,0))+1,IF(21=INDEX(Assumptions!B:B,MATCH("Years to stability",Assumptions!A:A,0))+1,V17,V17/(1+W18)),"")</f>
      </c>
    </row>
    <row r="18" spans="1:23" x14ac:dyDescent="0.25">
      <c r="A18" s="11" t="s">
        <v>77</v>
      </c>
      <c r="B18" s="12"/>
      <c r="C18" s="25">
        <f>=IF(1&lt;=INDEX(Assumptions!B:B,MATCH("Years to stability",Assumptions!A:A,0))+1,LOOKUP(2,1/('Cost of equity'!A:A="Cost of equity"),'Cost of equity'!B:B)+((MIN(1-1,INDEX(Assumptions!B:B,MATCH("Years to stability",Assumptions!A:A,0))-1))/(INDEX(Assumptions!B:B,MATCH("Years to stability",Assumptions!A:A,0))-1))*(LOOKUP(2,1/('Cost of equity'!A:A="Stable cost of equity"),'Cost of equity'!B:B)-LOOKUP(2,1/('Cost of equity'!A:A="Cost of equity"),'Cost of equity'!B:B)),"")</f>
      </c>
      <c r="D18" s="25">
        <f>=IF(2&lt;=INDEX(Assumptions!B:B,MATCH("Years to stability",Assumptions!A:A,0))+1,LOOKUP(2,1/('Cost of equity'!A:A="Cost of equity"),'Cost of equity'!B:B)+((MIN(2-1,INDEX(Assumptions!B:B,MATCH("Years to stability",Assumptions!A:A,0))-1))/(INDEX(Assumptions!B:B,MATCH("Years to stability",Assumptions!A:A,0))-1))*(LOOKUP(2,1/('Cost of equity'!A:A="Stable cost of equity"),'Cost of equity'!B:B)-LOOKUP(2,1/('Cost of equity'!A:A="Cost of equity"),'Cost of equity'!B:B)),"")</f>
      </c>
      <c r="E18" s="25">
        <f>=IF(3&lt;=INDEX(Assumptions!B:B,MATCH("Years to stability",Assumptions!A:A,0))+1,LOOKUP(2,1/('Cost of equity'!A:A="Cost of equity"),'Cost of equity'!B:B)+((MIN(3-1,INDEX(Assumptions!B:B,MATCH("Years to stability",Assumptions!A:A,0))-1))/(INDEX(Assumptions!B:B,MATCH("Years to stability",Assumptions!A:A,0))-1))*(LOOKUP(2,1/('Cost of equity'!A:A="Stable cost of equity"),'Cost of equity'!B:B)-LOOKUP(2,1/('Cost of equity'!A:A="Cost of equity"),'Cost of equity'!B:B)),"")</f>
      </c>
      <c r="F18" s="25">
        <f>=IF(4&lt;=INDEX(Assumptions!B:B,MATCH("Years to stability",Assumptions!A:A,0))+1,LOOKUP(2,1/('Cost of equity'!A:A="Cost of equity"),'Cost of equity'!B:B)+((MIN(4-1,INDEX(Assumptions!B:B,MATCH("Years to stability",Assumptions!A:A,0))-1))/(INDEX(Assumptions!B:B,MATCH("Years to stability",Assumptions!A:A,0))-1))*(LOOKUP(2,1/('Cost of equity'!A:A="Stable cost of equity"),'Cost of equity'!B:B)-LOOKUP(2,1/('Cost of equity'!A:A="Cost of equity"),'Cost of equity'!B:B)),"")</f>
      </c>
      <c r="G18" s="25">
        <f>=IF(5&lt;=INDEX(Assumptions!B:B,MATCH("Years to stability",Assumptions!A:A,0))+1,LOOKUP(2,1/('Cost of equity'!A:A="Cost of equity"),'Cost of equity'!B:B)+((MIN(5-1,INDEX(Assumptions!B:B,MATCH("Years to stability",Assumptions!A:A,0))-1))/(INDEX(Assumptions!B:B,MATCH("Years to stability",Assumptions!A:A,0))-1))*(LOOKUP(2,1/('Cost of equity'!A:A="Stable cost of equity"),'Cost of equity'!B:B)-LOOKUP(2,1/('Cost of equity'!A:A="Cost of equity"),'Cost of equity'!B:B)),"")</f>
      </c>
      <c r="H18" s="25">
        <f>=IF(6&lt;=INDEX(Assumptions!B:B,MATCH("Years to stability",Assumptions!A:A,0))+1,LOOKUP(2,1/('Cost of equity'!A:A="Cost of equity"),'Cost of equity'!B:B)+((MIN(6-1,INDEX(Assumptions!B:B,MATCH("Years to stability",Assumptions!A:A,0))-1))/(INDEX(Assumptions!B:B,MATCH("Years to stability",Assumptions!A:A,0))-1))*(LOOKUP(2,1/('Cost of equity'!A:A="Stable cost of equity"),'Cost of equity'!B:B)-LOOKUP(2,1/('Cost of equity'!A:A="Cost of equity"),'Cost of equity'!B:B)),"")</f>
      </c>
      <c r="I18" s="25">
        <f>=IF(7&lt;=INDEX(Assumptions!B:B,MATCH("Years to stability",Assumptions!A:A,0))+1,LOOKUP(2,1/('Cost of equity'!A:A="Cost of equity"),'Cost of equity'!B:B)+((MIN(7-1,INDEX(Assumptions!B:B,MATCH("Years to stability",Assumptions!A:A,0))-1))/(INDEX(Assumptions!B:B,MATCH("Years to stability",Assumptions!A:A,0))-1))*(LOOKUP(2,1/('Cost of equity'!A:A="Stable cost of equity"),'Cost of equity'!B:B)-LOOKUP(2,1/('Cost of equity'!A:A="Cost of equity"),'Cost of equity'!B:B)),"")</f>
      </c>
      <c r="J18" s="25">
        <f>=IF(8&lt;=INDEX(Assumptions!B:B,MATCH("Years to stability",Assumptions!A:A,0))+1,LOOKUP(2,1/('Cost of equity'!A:A="Cost of equity"),'Cost of equity'!B:B)+((MIN(8-1,INDEX(Assumptions!B:B,MATCH("Years to stability",Assumptions!A:A,0))-1))/(INDEX(Assumptions!B:B,MATCH("Years to stability",Assumptions!A:A,0))-1))*(LOOKUP(2,1/('Cost of equity'!A:A="Stable cost of equity"),'Cost of equity'!B:B)-LOOKUP(2,1/('Cost of equity'!A:A="Cost of equity"),'Cost of equity'!B:B)),"")</f>
      </c>
      <c r="K18" s="25">
        <f>=IF(9&lt;=INDEX(Assumptions!B:B,MATCH("Years to stability",Assumptions!A:A,0))+1,LOOKUP(2,1/('Cost of equity'!A:A="Cost of equity"),'Cost of equity'!B:B)+((MIN(9-1,INDEX(Assumptions!B:B,MATCH("Years to stability",Assumptions!A:A,0))-1))/(INDEX(Assumptions!B:B,MATCH("Years to stability",Assumptions!A:A,0))-1))*(LOOKUP(2,1/('Cost of equity'!A:A="Stable cost of equity"),'Cost of equity'!B:B)-LOOKUP(2,1/('Cost of equity'!A:A="Cost of equity"),'Cost of equity'!B:B)),"")</f>
      </c>
      <c r="L18" s="25">
        <f>=IF(10&lt;=INDEX(Assumptions!B:B,MATCH("Years to stability",Assumptions!A:A,0))+1,LOOKUP(2,1/('Cost of equity'!A:A="Cost of equity"),'Cost of equity'!B:B)+((MIN(10-1,INDEX(Assumptions!B:B,MATCH("Years to stability",Assumptions!A:A,0))-1))/(INDEX(Assumptions!B:B,MATCH("Years to stability",Assumptions!A:A,0))-1))*(LOOKUP(2,1/('Cost of equity'!A:A="Stable cost of equity"),'Cost of equity'!B:B)-LOOKUP(2,1/('Cost of equity'!A:A="Cost of equity"),'Cost of equity'!B:B)),"")</f>
      </c>
      <c r="M18" s="25">
        <f>=IF(11&lt;=INDEX(Assumptions!B:B,MATCH("Years to stability",Assumptions!A:A,0))+1,LOOKUP(2,1/('Cost of equity'!A:A="Cost of equity"),'Cost of equity'!B:B)+((MIN(11-1,INDEX(Assumptions!B:B,MATCH("Years to stability",Assumptions!A:A,0))-1))/(INDEX(Assumptions!B:B,MATCH("Years to stability",Assumptions!A:A,0))-1))*(LOOKUP(2,1/('Cost of equity'!A:A="Stable cost of equity"),'Cost of equity'!B:B)-LOOKUP(2,1/('Cost of equity'!A:A="Cost of equity"),'Cost of equity'!B:B)),"")</f>
      </c>
      <c r="N18" s="25">
        <f>=IF(12&lt;=INDEX(Assumptions!B:B,MATCH("Years to stability",Assumptions!A:A,0))+1,LOOKUP(2,1/('Cost of equity'!A:A="Cost of equity"),'Cost of equity'!B:B)+((MIN(12-1,INDEX(Assumptions!B:B,MATCH("Years to stability",Assumptions!A:A,0))-1))/(INDEX(Assumptions!B:B,MATCH("Years to stability",Assumptions!A:A,0))-1))*(LOOKUP(2,1/('Cost of equity'!A:A="Stable cost of equity"),'Cost of equity'!B:B)-LOOKUP(2,1/('Cost of equity'!A:A="Cost of equity"),'Cost of equity'!B:B)),"")</f>
      </c>
      <c r="O18" s="25">
        <f>=IF(13&lt;=INDEX(Assumptions!B:B,MATCH("Years to stability",Assumptions!A:A,0))+1,LOOKUP(2,1/('Cost of equity'!A:A="Cost of equity"),'Cost of equity'!B:B)+((MIN(13-1,INDEX(Assumptions!B:B,MATCH("Years to stability",Assumptions!A:A,0))-1))/(INDEX(Assumptions!B:B,MATCH("Years to stability",Assumptions!A:A,0))-1))*(LOOKUP(2,1/('Cost of equity'!A:A="Stable cost of equity"),'Cost of equity'!B:B)-LOOKUP(2,1/('Cost of equity'!A:A="Cost of equity"),'Cost of equity'!B:B)),"")</f>
      </c>
      <c r="P18" s="25">
        <f>=IF(14&lt;=INDEX(Assumptions!B:B,MATCH("Years to stability",Assumptions!A:A,0))+1,LOOKUP(2,1/('Cost of equity'!A:A="Cost of equity"),'Cost of equity'!B:B)+((MIN(14-1,INDEX(Assumptions!B:B,MATCH("Years to stability",Assumptions!A:A,0))-1))/(INDEX(Assumptions!B:B,MATCH("Years to stability",Assumptions!A:A,0))-1))*(LOOKUP(2,1/('Cost of equity'!A:A="Stable cost of equity"),'Cost of equity'!B:B)-LOOKUP(2,1/('Cost of equity'!A:A="Cost of equity"),'Cost of equity'!B:B)),"")</f>
      </c>
      <c r="Q18" s="25">
        <f>=IF(15&lt;=INDEX(Assumptions!B:B,MATCH("Years to stability",Assumptions!A:A,0))+1,LOOKUP(2,1/('Cost of equity'!A:A="Cost of equity"),'Cost of equity'!B:B)+((MIN(15-1,INDEX(Assumptions!B:B,MATCH("Years to stability",Assumptions!A:A,0))-1))/(INDEX(Assumptions!B:B,MATCH("Years to stability",Assumptions!A:A,0))-1))*(LOOKUP(2,1/('Cost of equity'!A:A="Stable cost of equity"),'Cost of equity'!B:B)-LOOKUP(2,1/('Cost of equity'!A:A="Cost of equity"),'Cost of equity'!B:B)),"")</f>
      </c>
      <c r="R18" s="25">
        <f>=IF(16&lt;=INDEX(Assumptions!B:B,MATCH("Years to stability",Assumptions!A:A,0))+1,LOOKUP(2,1/('Cost of equity'!A:A="Cost of equity"),'Cost of equity'!B:B)+((MIN(16-1,INDEX(Assumptions!B:B,MATCH("Years to stability",Assumptions!A:A,0))-1))/(INDEX(Assumptions!B:B,MATCH("Years to stability",Assumptions!A:A,0))-1))*(LOOKUP(2,1/('Cost of equity'!A:A="Stable cost of equity"),'Cost of equity'!B:B)-LOOKUP(2,1/('Cost of equity'!A:A="Cost of equity"),'Cost of equity'!B:B)),"")</f>
      </c>
      <c r="S18" s="25">
        <f>=IF(17&lt;=INDEX(Assumptions!B:B,MATCH("Years to stability",Assumptions!A:A,0))+1,LOOKUP(2,1/('Cost of equity'!A:A="Cost of equity"),'Cost of equity'!B:B)+((MIN(17-1,INDEX(Assumptions!B:B,MATCH("Years to stability",Assumptions!A:A,0))-1))/(INDEX(Assumptions!B:B,MATCH("Years to stability",Assumptions!A:A,0))-1))*(LOOKUP(2,1/('Cost of equity'!A:A="Stable cost of equity"),'Cost of equity'!B:B)-LOOKUP(2,1/('Cost of equity'!A:A="Cost of equity"),'Cost of equity'!B:B)),"")</f>
      </c>
      <c r="T18" s="25">
        <f>=IF(18&lt;=INDEX(Assumptions!B:B,MATCH("Years to stability",Assumptions!A:A,0))+1,LOOKUP(2,1/('Cost of equity'!A:A="Cost of equity"),'Cost of equity'!B:B)+((MIN(18-1,INDEX(Assumptions!B:B,MATCH("Years to stability",Assumptions!A:A,0))-1))/(INDEX(Assumptions!B:B,MATCH("Years to stability",Assumptions!A:A,0))-1))*(LOOKUP(2,1/('Cost of equity'!A:A="Stable cost of equity"),'Cost of equity'!B:B)-LOOKUP(2,1/('Cost of equity'!A:A="Cost of equity"),'Cost of equity'!B:B)),"")</f>
      </c>
      <c r="U18" s="25">
        <f>=IF(19&lt;=INDEX(Assumptions!B:B,MATCH("Years to stability",Assumptions!A:A,0))+1,LOOKUP(2,1/('Cost of equity'!A:A="Cost of equity"),'Cost of equity'!B:B)+((MIN(19-1,INDEX(Assumptions!B:B,MATCH("Years to stability",Assumptions!A:A,0))-1))/(INDEX(Assumptions!B:B,MATCH("Years to stability",Assumptions!A:A,0))-1))*(LOOKUP(2,1/('Cost of equity'!A:A="Stable cost of equity"),'Cost of equity'!B:B)-LOOKUP(2,1/('Cost of equity'!A:A="Cost of equity"),'Cost of equity'!B:B)),"")</f>
      </c>
      <c r="V18" s="25">
        <f>=IF(20&lt;=INDEX(Assumptions!B:B,MATCH("Years to stability",Assumptions!A:A,0))+1,LOOKUP(2,1/('Cost of equity'!A:A="Cost of equity"),'Cost of equity'!B:B)+((MIN(20-1,INDEX(Assumptions!B:B,MATCH("Years to stability",Assumptions!A:A,0))-1))/(INDEX(Assumptions!B:B,MATCH("Years to stability",Assumptions!A:A,0))-1))*(LOOKUP(2,1/('Cost of equity'!A:A="Stable cost of equity"),'Cost of equity'!B:B)-LOOKUP(2,1/('Cost of equity'!A:A="Cost of equity"),'Cost of equity'!B:B)),"")</f>
      </c>
      <c r="W18" s="25">
        <f>=IF(21&lt;=INDEX(Assumptions!B:B,MATCH("Years to stability",Assumptions!A:A,0))+1,LOOKUP(2,1/('Cost of equity'!A:A="Cost of equity"),'Cost of equity'!B:B)+((MIN(21-1,INDEX(Assumptions!B:B,MATCH("Years to stability",Assumptions!A:A,0))-1))/(INDEX(Assumptions!B:B,MATCH("Years to stability",Assumptions!A:A,0))-1))*(LOOKUP(2,1/('Cost of equity'!A:A="Stable cost of equity"),'Cost of equity'!B:B)-LOOKUP(2,1/('Cost of equity'!A:A="Cost of equity"),'Cost of equity'!B:B)),"")</f>
      </c>
    </row>
    <row r="19" spans="1:23" x14ac:dyDescent="0.25">
      <c r="A19" s="11" t="s">
        <v>78</v>
      </c>
      <c r="B19" s="12"/>
      <c r="C19" s="24">
        <f>=IF(1&lt;=INDEX(Assumptions!B:B,MATCH("Years to stability",Assumptions!A:A,0))+1,C16*C17,"")</f>
      </c>
      <c r="D19" s="24">
        <f>=IF(2&lt;=INDEX(Assumptions!B:B,MATCH("Years to stability",Assumptions!A:A,0))+1,D16*D17,"")</f>
      </c>
      <c r="E19" s="24">
        <f>=IF(3&lt;=INDEX(Assumptions!B:B,MATCH("Years to stability",Assumptions!A:A,0))+1,E16*E17,"")</f>
      </c>
      <c r="F19" s="24">
        <f>=IF(4&lt;=INDEX(Assumptions!B:B,MATCH("Years to stability",Assumptions!A:A,0))+1,F16*F17,"")</f>
      </c>
      <c r="G19" s="24">
        <f>=IF(5&lt;=INDEX(Assumptions!B:B,MATCH("Years to stability",Assumptions!A:A,0))+1,G16*G17,"")</f>
      </c>
      <c r="H19" s="24">
        <f>=IF(6&lt;=INDEX(Assumptions!B:B,MATCH("Years to stability",Assumptions!A:A,0))+1,H16*H17,"")</f>
      </c>
      <c r="I19" s="24">
        <f>=IF(7&lt;=INDEX(Assumptions!B:B,MATCH("Years to stability",Assumptions!A:A,0))+1,I16*I17,"")</f>
      </c>
      <c r="J19" s="24">
        <f>=IF(8&lt;=INDEX(Assumptions!B:B,MATCH("Years to stability",Assumptions!A:A,0))+1,J16*J17,"")</f>
      </c>
      <c r="K19" s="24">
        <f>=IF(9&lt;=INDEX(Assumptions!B:B,MATCH("Years to stability",Assumptions!A:A,0))+1,K16*K17,"")</f>
      </c>
      <c r="L19" s="24">
        <f>=IF(10&lt;=INDEX(Assumptions!B:B,MATCH("Years to stability",Assumptions!A:A,0))+1,L16*L17,"")</f>
      </c>
      <c r="M19" s="24">
        <f>=IF(11&lt;=INDEX(Assumptions!B:B,MATCH("Years to stability",Assumptions!A:A,0))+1,M16*M17,"")</f>
      </c>
      <c r="N19" s="24">
        <f>=IF(12&lt;=INDEX(Assumptions!B:B,MATCH("Years to stability",Assumptions!A:A,0))+1,N16*N17,"")</f>
      </c>
      <c r="O19" s="24">
        <f>=IF(13&lt;=INDEX(Assumptions!B:B,MATCH("Years to stability",Assumptions!A:A,0))+1,O16*O17,"")</f>
      </c>
      <c r="P19" s="24">
        <f>=IF(14&lt;=INDEX(Assumptions!B:B,MATCH("Years to stability",Assumptions!A:A,0))+1,P16*P17,"")</f>
      </c>
      <c r="Q19" s="24">
        <f>=IF(15&lt;=INDEX(Assumptions!B:B,MATCH("Years to stability",Assumptions!A:A,0))+1,Q16*Q17,"")</f>
      </c>
      <c r="R19" s="24">
        <f>=IF(16&lt;=INDEX(Assumptions!B:B,MATCH("Years to stability",Assumptions!A:A,0))+1,R16*R17,"")</f>
      </c>
      <c r="S19" s="24">
        <f>=IF(17&lt;=INDEX(Assumptions!B:B,MATCH("Years to stability",Assumptions!A:A,0))+1,S16*S17,"")</f>
      </c>
      <c r="T19" s="24">
        <f>=IF(18&lt;=INDEX(Assumptions!B:B,MATCH("Years to stability",Assumptions!A:A,0))+1,T16*T17,"")</f>
      </c>
      <c r="U19" s="24">
        <f>=IF(19&lt;=INDEX(Assumptions!B:B,MATCH("Years to stability",Assumptions!A:A,0))+1,U16*U17,"")</f>
      </c>
      <c r="V19" s="24">
        <f>=IF(20&lt;=INDEX(Assumptions!B:B,MATCH("Years to stability",Assumptions!A:A,0))+1,V16*V17,"")</f>
      </c>
      <c r="W19" s="24">
        <f>=IF(21&lt;=INDEX(Assumptions!B:B,MATCH("Years to stability",Assumptions!A:A,0))+1,W16*W17,"")</f>
      </c>
    </row>
    <row r="21" spans="1:23" x14ac:dyDescent="0.25">
      <c r="A21" s="11" t="s">
        <v>79</v>
      </c>
      <c r="B21" s="24">
        <f>=SUM(C19:W19)</f>
      </c>
      <c r="C21" s="12"/>
      <c r="D21" s="12"/>
      <c r="E21" s="12"/>
      <c r="F21" s="12"/>
      <c r="G21" s="12"/>
      <c r="H21" s="12"/>
      <c r="I21" s="12"/>
      <c r="J21" s="12"/>
      <c r="K21" s="12"/>
      <c r="L21" s="12"/>
      <c r="M21" s="12"/>
      <c r="N21" s="12"/>
      <c r="O21" s="12"/>
      <c r="P21" s="12"/>
      <c r="Q21" s="12"/>
      <c r="R21" s="12"/>
      <c r="S21" s="12"/>
      <c r="T21" s="12"/>
      <c r="U21" s="12"/>
      <c r="V21" s="12"/>
      <c r="W21" s="12"/>
    </row>
    <row r="22" spans="1:23" x14ac:dyDescent="0.25">
      <c r="A22" s="11" t="s">
        <v>80</v>
      </c>
      <c r="B22" s="24">
        <f>=B21-B25</f>
      </c>
      <c r="C22" s="12"/>
      <c r="D22" s="12"/>
      <c r="E22" s="12"/>
      <c r="F22" s="12"/>
      <c r="G22" s="12"/>
      <c r="H22" s="12"/>
      <c r="I22" s="12"/>
      <c r="J22" s="12"/>
      <c r="K22" s="12"/>
      <c r="L22" s="12"/>
      <c r="M22" s="12"/>
      <c r="N22" s="12"/>
      <c r="O22" s="12"/>
      <c r="P22" s="12"/>
      <c r="Q22" s="12"/>
      <c r="R22" s="12"/>
      <c r="S22" s="12"/>
      <c r="T22" s="12"/>
      <c r="U22" s="12"/>
      <c r="V22" s="12"/>
      <c r="W22" s="12"/>
    </row>
    <row r="23" spans="1:23" x14ac:dyDescent="0.25">
      <c r="A23" s="11" t="s">
        <v>81</v>
      </c>
      <c r="B23" s="14">
        <v>0.013</v>
      </c>
      <c r="C23" s="12"/>
      <c r="D23" s="12"/>
      <c r="E23" s="12"/>
      <c r="F23" s="12"/>
      <c r="G23" s="12"/>
      <c r="H23" s="12"/>
      <c r="I23" s="12"/>
      <c r="J23" s="12"/>
      <c r="K23" s="12"/>
      <c r="L23" s="12"/>
      <c r="M23" s="12"/>
      <c r="N23" s="12"/>
      <c r="O23" s="12"/>
      <c r="P23" s="12"/>
      <c r="Q23" s="12"/>
      <c r="R23" s="12"/>
      <c r="S23" s="12"/>
      <c r="T23" s="12"/>
      <c r="U23" s="12"/>
      <c r="V23" s="12"/>
      <c r="W23" s="12"/>
    </row>
    <row r="24" spans="1:23" x14ac:dyDescent="0.25">
      <c r="A24" s="11" t="s">
        <v>82</v>
      </c>
      <c r="B24" s="25">
        <f>=INDEX(Assumptions!B:B,MATCH("Recovery ratio",Assumptions!A:A,0))</f>
      </c>
      <c r="C24" s="12"/>
      <c r="D24" s="12"/>
      <c r="E24" s="12"/>
      <c r="F24" s="12"/>
      <c r="G24" s="12"/>
      <c r="H24" s="12"/>
      <c r="I24" s="12"/>
      <c r="J24" s="12"/>
      <c r="K24" s="12"/>
      <c r="L24" s="12"/>
      <c r="M24" s="12"/>
      <c r="N24" s="12"/>
      <c r="O24" s="12"/>
      <c r="P24" s="12"/>
      <c r="Q24" s="12"/>
      <c r="R24" s="12"/>
      <c r="S24" s="12"/>
      <c r="T24" s="12"/>
      <c r="U24" s="12"/>
      <c r="V24" s="12"/>
      <c r="W24" s="12"/>
    </row>
    <row r="25" spans="1:23" x14ac:dyDescent="0.25">
      <c r="A25" s="11" t="s">
        <v>83</v>
      </c>
      <c r="B25" s="24">
        <f>=(1-B23)*B21+B23*(B24*B11)</f>
      </c>
      <c r="C25" s="12"/>
      <c r="D25" s="12"/>
      <c r="E25" s="12"/>
      <c r="F25" s="12"/>
      <c r="G25" s="12"/>
      <c r="H25" s="12"/>
      <c r="I25" s="12"/>
      <c r="J25" s="12"/>
      <c r="K25" s="12"/>
      <c r="L25" s="12"/>
      <c r="M25" s="12"/>
      <c r="N25" s="12"/>
      <c r="O25" s="12"/>
      <c r="P25" s="12"/>
      <c r="Q25" s="12"/>
      <c r="R25" s="12"/>
      <c r="S25" s="12"/>
      <c r="T25" s="12"/>
      <c r="U25" s="12"/>
      <c r="V25" s="12"/>
      <c r="W25" s="12"/>
    </row>
    <row r="26" spans="1:23" x14ac:dyDescent="0.25">
      <c r="A26" s="11" t="s">
        <v>84</v>
      </c>
      <c r="B26" s="28">
        <v>0</v>
      </c>
      <c r="C26" s="12"/>
      <c r="D26" s="12"/>
      <c r="E26" s="12"/>
      <c r="F26" s="12"/>
      <c r="G26" s="12"/>
      <c r="H26" s="12"/>
      <c r="I26" s="12"/>
      <c r="J26" s="12"/>
      <c r="K26" s="12"/>
      <c r="L26" s="12"/>
      <c r="M26" s="12"/>
      <c r="N26" s="12"/>
      <c r="O26" s="12"/>
      <c r="P26" s="12"/>
      <c r="Q26" s="12"/>
      <c r="R26" s="12"/>
      <c r="S26" s="12"/>
      <c r="T26" s="12"/>
      <c r="U26" s="12"/>
      <c r="V26" s="12"/>
      <c r="W26" s="12"/>
    </row>
    <row r="27" spans="1:23" x14ac:dyDescent="0.25">
      <c r="A27" s="11" t="s">
        <v>85</v>
      </c>
      <c r="B27" s="28">
        <v>775</v>
      </c>
      <c r="C27" s="12"/>
      <c r="D27" s="12"/>
      <c r="E27" s="12"/>
      <c r="F27" s="12"/>
      <c r="G27" s="12"/>
      <c r="H27" s="12"/>
      <c r="I27" s="12"/>
      <c r="J27" s="12"/>
      <c r="K27" s="12"/>
      <c r="L27" s="12"/>
      <c r="M27" s="12"/>
      <c r="N27" s="12"/>
      <c r="O27" s="12"/>
      <c r="P27" s="12"/>
      <c r="Q27" s="12"/>
      <c r="R27" s="12"/>
      <c r="S27" s="12"/>
      <c r="T27" s="12"/>
      <c r="U27" s="12"/>
      <c r="V27" s="12"/>
      <c r="W27" s="12"/>
    </row>
    <row r="28" spans="1:23" x14ac:dyDescent="0.25">
      <c r="A28" s="11" t="s">
        <v>86</v>
      </c>
      <c r="B28" s="24">
        <f>=B25-B26-B27</f>
      </c>
      <c r="C28" s="12"/>
      <c r="D28" s="12"/>
      <c r="E28" s="12"/>
      <c r="F28" s="12"/>
      <c r="G28" s="12"/>
      <c r="H28" s="12"/>
      <c r="I28" s="12"/>
      <c r="J28" s="12"/>
      <c r="K28" s="12"/>
      <c r="L28" s="12"/>
      <c r="M28" s="12"/>
      <c r="N28" s="12"/>
      <c r="O28" s="12"/>
      <c r="P28" s="12"/>
      <c r="Q28" s="12"/>
      <c r="R28" s="12"/>
      <c r="S28" s="12"/>
      <c r="T28" s="12"/>
      <c r="U28" s="12"/>
      <c r="V28" s="12"/>
      <c r="W28" s="12"/>
    </row>
    <row r="29" spans="1:23" x14ac:dyDescent="0.25">
      <c r="A29" s="11" t="s">
        <v>87</v>
      </c>
      <c r="B29" s="29">
        <f>=Summary!B20</f>
      </c>
      <c r="C29" s="12"/>
      <c r="D29" s="12"/>
      <c r="E29" s="12"/>
      <c r="F29" s="12"/>
      <c r="G29" s="12"/>
      <c r="H29" s="12"/>
      <c r="I29" s="12"/>
      <c r="J29" s="12"/>
      <c r="K29" s="12"/>
      <c r="L29" s="12"/>
      <c r="M29" s="12"/>
      <c r="N29" s="12"/>
      <c r="O29" s="12"/>
      <c r="P29" s="12"/>
      <c r="Q29" s="12"/>
      <c r="R29" s="12"/>
      <c r="S29" s="12"/>
      <c r="T29" s="12"/>
      <c r="U29" s="12"/>
      <c r="V29" s="12"/>
      <c r="W29" s="12"/>
    </row>
    <row r="30" spans="1:23" x14ac:dyDescent="0.25">
      <c r="A30" s="11" t="s">
        <v>88</v>
      </c>
      <c r="B30" s="30">
        <f>=B28/B29</f>
      </c>
      <c r="C30" s="12"/>
      <c r="D30" s="12"/>
      <c r="E30" s="12"/>
      <c r="F30" s="12"/>
      <c r="G30" s="12"/>
      <c r="H30" s="12"/>
      <c r="I30" s="12"/>
      <c r="J30" s="12"/>
      <c r="K30" s="12"/>
      <c r="L30" s="12"/>
      <c r="M30" s="12"/>
      <c r="N30" s="12"/>
      <c r="O30" s="12"/>
      <c r="P30" s="12"/>
      <c r="Q30" s="12"/>
      <c r="R30" s="12"/>
      <c r="S30" s="12"/>
      <c r="T30" s="12"/>
      <c r="U30" s="12"/>
      <c r="V30" s="12"/>
      <c r="W30" s="12"/>
    </row>
  </sheetData>
  <pageMargins left="0.7" right="0.7" top="0.75" bottom="0.75" header="0.3" footer="0.3"/>
  <pageSetup orientation="portrait" horizontalDpi="4294967295" verticalDpi="4294967295" scale="100" fitToWidth="1" fitToHeigh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howGridLines="0"/>
  </sheetViews>
  <sheetFormatPr defaultRowHeight="15" outlineLevelRow="0" outlineLevelCol="0" x14ac:dyDescent="55"/>
  <cols>
    <col min="1" max="1" width="25" style="6" customWidth="1"/>
    <col min="2" max="2" width="15" style="7" customWidth="1"/>
    <col min="3" max="3" width="15" style="6" customWidth="1"/>
    <col min="4" max="6" width="20" style="7" customWidth="1"/>
  </cols>
  <sheetData>
    <row r="1" spans="1:6" s="8" customFormat="1" x14ac:dyDescent="0.25">
      <c r="A1" s="9" t="s">
        <v>89</v>
      </c>
      <c r="B1" s="10"/>
      <c r="C1" s="9"/>
      <c r="D1" s="10"/>
      <c r="E1" s="10"/>
      <c r="F1" s="10"/>
    </row>
    <row r="2" spans="1:6" x14ac:dyDescent="0.25">
      <c r="A2" s="11" t="s">
        <v>10</v>
      </c>
      <c r="B2" s="12"/>
      <c r="C2" s="11"/>
      <c r="D2" s="12"/>
      <c r="E2" s="12"/>
      <c r="F2" s="12"/>
    </row>
    <row r="4" spans="1:6" s="17" customFormat="1" x14ac:dyDescent="0.25">
      <c r="A4" s="18" t="s">
        <v>90</v>
      </c>
      <c r="B4" s="31"/>
      <c r="C4" s="18"/>
      <c r="D4" s="31"/>
      <c r="E4" s="31"/>
      <c r="F4" s="31"/>
    </row>
    <row r="5" spans="1:6" s="32" customFormat="1" x14ac:dyDescent="0.25">
      <c r="A5" s="21" t="s">
        <v>91</v>
      </c>
      <c r="B5" s="22" t="s">
        <v>92</v>
      </c>
      <c r="C5" s="21" t="s">
        <v>93</v>
      </c>
      <c r="D5" s="22" t="s">
        <v>94</v>
      </c>
      <c r="E5" s="22" t="s">
        <v>95</v>
      </c>
      <c r="F5" s="22" t="s">
        <v>96</v>
      </c>
    </row>
    <row r="6" spans="1:6" x14ac:dyDescent="0.25">
      <c r="A6" s="33">
        <v>0</v>
      </c>
      <c r="B6" s="13">
        <v>0</v>
      </c>
      <c r="C6" s="34">
        <v>0</v>
      </c>
      <c r="D6" s="14">
        <v>0</v>
      </c>
      <c r="E6" s="14">
        <v>0</v>
      </c>
      <c r="F6" s="35"/>
    </row>
    <row r="8" spans="1:6" s="17" customFormat="1" x14ac:dyDescent="0.25">
      <c r="A8" s="18" t="s">
        <v>97</v>
      </c>
      <c r="B8" s="31"/>
      <c r="C8" s="18"/>
      <c r="D8" s="31"/>
      <c r="E8" s="31"/>
      <c r="F8" s="31"/>
    </row>
    <row r="9" spans="1:6" s="32" customFormat="1" x14ac:dyDescent="0.25">
      <c r="A9" s="21" t="s">
        <v>98</v>
      </c>
      <c r="B9" s="22" t="s">
        <v>96</v>
      </c>
      <c r="C9" s="21" t="s">
        <v>99</v>
      </c>
      <c r="D9" s="36"/>
      <c r="E9" s="36"/>
      <c r="F9" s="36"/>
    </row>
    <row r="10" spans="1:6" x14ac:dyDescent="0.25">
      <c r="A10" s="11" t="s">
        <v>100</v>
      </c>
      <c r="B10" s="16">
        <v>0</v>
      </c>
      <c r="C10" s="11" t="s">
        <v>62</v>
      </c>
      <c r="D10" s="12"/>
      <c r="E10" s="12"/>
      <c r="F10" s="12"/>
    </row>
    <row r="11" spans="1:6" x14ac:dyDescent="0.25">
      <c r="A11" s="11" t="s">
        <v>101</v>
      </c>
      <c r="B11" s="16">
        <v>0</v>
      </c>
      <c r="C11" s="11" t="s">
        <v>62</v>
      </c>
      <c r="D11" s="12"/>
      <c r="E11" s="12"/>
      <c r="F11" s="12"/>
    </row>
    <row r="12" spans="1:6" x14ac:dyDescent="0.25">
      <c r="A12" s="11" t="s">
        <v>102</v>
      </c>
      <c r="B12" s="16">
        <v>0</v>
      </c>
      <c r="C12" s="11" t="s">
        <v>62</v>
      </c>
      <c r="D12" s="12"/>
      <c r="E12" s="12"/>
      <c r="F12" s="12"/>
    </row>
    <row r="13" spans="1:6" x14ac:dyDescent="0.25">
      <c r="A13" s="11" t="s">
        <v>103</v>
      </c>
      <c r="B13" s="16">
        <v>0</v>
      </c>
      <c r="C13" s="11" t="s">
        <v>62</v>
      </c>
      <c r="D13" s="12"/>
      <c r="E13" s="12"/>
      <c r="F13" s="12"/>
    </row>
    <row r="14" spans="1:6" x14ac:dyDescent="0.25">
      <c r="A14" s="11" t="s">
        <v>104</v>
      </c>
      <c r="B14" s="16">
        <v>215</v>
      </c>
      <c r="C14" s="11" t="s">
        <v>105</v>
      </c>
      <c r="D14" s="12"/>
      <c r="E14" s="12"/>
      <c r="F14" s="12"/>
    </row>
    <row r="15" spans="1:6" x14ac:dyDescent="0.25">
      <c r="A15" s="11" t="s">
        <v>106</v>
      </c>
      <c r="B15" s="16">
        <v>560</v>
      </c>
      <c r="C15" s="11" t="s">
        <v>107</v>
      </c>
      <c r="D15" s="12"/>
      <c r="E15" s="12"/>
      <c r="F15" s="12"/>
    </row>
    <row r="16" spans="1:6" x14ac:dyDescent="0.25">
      <c r="A16" s="11" t="s">
        <v>108</v>
      </c>
      <c r="B16" s="16">
        <v>0</v>
      </c>
      <c r="C16" s="11" t="s">
        <v>62</v>
      </c>
      <c r="D16" s="12"/>
      <c r="E16" s="12"/>
      <c r="F16" s="12"/>
    </row>
  </sheetData>
  <pageMargins left="0.7" right="0.7" top="0.75" bottom="0.75" header="0.3" footer="0.3"/>
  <pageSetup orientation="portrait" horizontalDpi="4294967295" verticalDpi="4294967295" scale="100" fitToWidth="1" fitToHeigh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owGridLines="0"/>
  </sheetViews>
  <sheetFormatPr defaultRowHeight="15" outlineLevelRow="0" outlineLevelCol="0" x14ac:dyDescent="55"/>
  <cols>
    <col min="1" max="1" width="30" style="6" customWidth="1"/>
    <col min="2" max="6" width="15" style="7" customWidth="1"/>
  </cols>
  <sheetData>
    <row r="1" spans="1:6" s="8" customFormat="1" x14ac:dyDescent="0.25">
      <c r="A1" s="9" t="s">
        <v>109</v>
      </c>
      <c r="B1" s="10"/>
      <c r="C1" s="10"/>
      <c r="D1" s="10"/>
      <c r="E1" s="10"/>
      <c r="F1" s="10"/>
    </row>
    <row r="2" spans="1:6" x14ac:dyDescent="0.25">
      <c r="A2" s="11" t="s">
        <v>10</v>
      </c>
      <c r="B2" s="12"/>
      <c r="C2" s="12"/>
      <c r="D2" s="12"/>
      <c r="E2" s="12"/>
      <c r="F2" s="12"/>
    </row>
    <row r="4" spans="1:6" x14ac:dyDescent="0.25">
      <c r="A4" s="21" t="s">
        <v>110</v>
      </c>
      <c r="B4" s="37">
        <v>2024</v>
      </c>
      <c r="C4" s="37">
        <v>2023</v>
      </c>
      <c r="D4" s="37">
        <v>2022</v>
      </c>
      <c r="E4" s="37">
        <v>2021</v>
      </c>
      <c r="F4" s="37">
        <v>2020</v>
      </c>
    </row>
    <row r="5" spans="1:6" x14ac:dyDescent="0.25">
      <c r="A5" s="11" t="s">
        <v>64</v>
      </c>
      <c r="B5" s="16">
        <v>45042.7</v>
      </c>
      <c r="C5" s="16">
        <v>34124.1</v>
      </c>
      <c r="D5" s="16">
        <v>28541.4</v>
      </c>
      <c r="E5" s="16">
        <v>28318.4</v>
      </c>
      <c r="F5" s="16">
        <v>24539.8</v>
      </c>
    </row>
    <row r="6" spans="1:6" x14ac:dyDescent="0.25">
      <c r="A6" s="11" t="s">
        <v>111</v>
      </c>
      <c r="B6" s="14">
        <v>0.32</v>
      </c>
      <c r="C6" s="14">
        <v>0.1956</v>
      </c>
      <c r="D6" s="14">
        <v>0.0079</v>
      </c>
      <c r="E6" s="14">
        <v>0.154</v>
      </c>
      <c r="F6" s="14">
        <v>0.0995</v>
      </c>
    </row>
    <row r="7" spans="1:6" x14ac:dyDescent="0.25">
      <c r="A7" s="11" t="s">
        <v>112</v>
      </c>
      <c r="B7" s="16">
        <v>15393.235</v>
      </c>
      <c r="C7" s="16">
        <v>8823.25</v>
      </c>
      <c r="D7" s="16">
        <v>7736.645</v>
      </c>
      <c r="E7" s="16">
        <v>7209.225</v>
      </c>
      <c r="F7" s="16">
        <v>7000.255</v>
      </c>
    </row>
    <row r="8" spans="1:6" x14ac:dyDescent="0.25">
      <c r="A8" s="11" t="s">
        <v>113</v>
      </c>
      <c r="B8" s="14">
        <v>0.3417476083804923</v>
      </c>
      <c r="C8" s="14">
        <v>0.2585635958164464</v>
      </c>
      <c r="D8" s="14">
        <v>0.27106746690772</v>
      </c>
      <c r="E8" s="14">
        <v>0.2545774125656817</v>
      </c>
      <c r="F8" s="14">
        <v>0.2852612898230629</v>
      </c>
    </row>
    <row r="9" spans="1:6" x14ac:dyDescent="0.25">
      <c r="A9" s="11" t="s">
        <v>114</v>
      </c>
      <c r="B9" s="16">
        <v>8212.835</v>
      </c>
      <c r="C9" s="16">
        <v>4003.95</v>
      </c>
      <c r="D9" s="16">
        <v>2700.845</v>
      </c>
      <c r="E9" s="16">
        <v>2872.425</v>
      </c>
      <c r="F9" s="16">
        <v>3813.155</v>
      </c>
    </row>
    <row r="10" spans="1:6" x14ac:dyDescent="0.25">
      <c r="A10" s="11" t="s">
        <v>115</v>
      </c>
      <c r="B10" s="16">
        <v>7180.4</v>
      </c>
      <c r="C10" s="16">
        <v>4819.3</v>
      </c>
      <c r="D10" s="16">
        <v>5035.8</v>
      </c>
      <c r="E10" s="16">
        <v>4336.8</v>
      </c>
      <c r="F10" s="16">
        <v>3187.1</v>
      </c>
    </row>
    <row r="11" spans="1:6" x14ac:dyDescent="0.25">
      <c r="A11" s="11" t="s">
        <v>116</v>
      </c>
      <c r="B11" s="16">
        <v>46716.79</v>
      </c>
      <c r="C11" s="16">
        <v>38493.355</v>
      </c>
      <c r="D11" s="16">
        <v>34788.405</v>
      </c>
      <c r="E11" s="16">
        <v>31625.96</v>
      </c>
      <c r="F11" s="16">
        <v>26660.835</v>
      </c>
    </row>
    <row r="12" spans="1:6" x14ac:dyDescent="0.25">
      <c r="A12" s="11" t="s">
        <v>117</v>
      </c>
      <c r="B12" s="14">
        <v>0.3295011279670542</v>
      </c>
      <c r="C12" s="14">
        <v>0.2292148865693832</v>
      </c>
      <c r="D12" s="14">
        <v>0.222391483599205</v>
      </c>
      <c r="E12" s="14">
        <v>0.2279527641216267</v>
      </c>
      <c r="F12" s="14">
        <v>0.2625669826170111</v>
      </c>
    </row>
    <row r="13" spans="1:6" x14ac:dyDescent="0.25">
      <c r="A13" s="11" t="s">
        <v>118</v>
      </c>
      <c r="B13" s="16">
        <v>0.9641651320649386</v>
      </c>
      <c r="C13" s="16">
        <v>0.8864932661754217</v>
      </c>
      <c r="D13" s="16">
        <v>0.820428530713035</v>
      </c>
      <c r="E13" s="16">
        <v>0.8954162972444156</v>
      </c>
      <c r="F13" s="16">
        <v>0.9204437895512275</v>
      </c>
    </row>
  </sheetData>
  <pageMargins left="0.7" right="0.7" top="0.75" bottom="0.75" header="0.3" footer="0.3"/>
  <pageSetup orientation="portrait" horizontalDpi="4294967295" verticalDpi="4294967295" scale="100" fitToWidth="1" fitToHeigh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howGridLines="0"/>
  </sheetViews>
  <sheetFormatPr defaultRowHeight="15" outlineLevelRow="0" outlineLevelCol="0" x14ac:dyDescent="55"/>
  <cols>
    <col min="1" max="1" width="9" style="6" customWidth="1"/>
    <col min="2" max="2" width="9" style="7" customWidth="1"/>
    <col min="3" max="3" width="9" style="38" customWidth="1"/>
    <col min="4" max="4" width="9" style="7" customWidth="1"/>
    <col min="5" max="5" width="9" style="38" customWidth="1"/>
    <col min="6" max="6" width="9" style="7" customWidth="1"/>
  </cols>
  <sheetData>
    <row r="1" spans="1:6" s="8" customFormat="1" x14ac:dyDescent="0.25">
      <c r="A1" s="9" t="s">
        <v>119</v>
      </c>
      <c r="B1" s="10"/>
      <c r="C1" s="39"/>
      <c r="D1" s="10"/>
      <c r="E1" s="39"/>
      <c r="F1" s="10"/>
    </row>
    <row r="2" spans="1:6" x14ac:dyDescent="0.25">
      <c r="A2" s="11" t="s">
        <v>10</v>
      </c>
      <c r="B2" s="12"/>
      <c r="C2" s="40"/>
      <c r="D2" s="12"/>
      <c r="E2" s="40"/>
      <c r="F2" s="12"/>
    </row>
    <row r="4" spans="1:6" x14ac:dyDescent="0.25">
      <c r="A4" s="18" t="s">
        <v>120</v>
      </c>
      <c r="B4" s="12"/>
      <c r="C4" s="40"/>
      <c r="D4" s="12"/>
      <c r="E4" s="40"/>
      <c r="F4" s="12"/>
    </row>
    <row r="5" spans="1:6" s="32" customFormat="1" x14ac:dyDescent="0.25">
      <c r="A5" s="21" t="s">
        <v>121</v>
      </c>
      <c r="B5" s="22" t="s">
        <v>122</v>
      </c>
      <c r="C5" s="41" t="s">
        <v>111</v>
      </c>
      <c r="D5" s="22" t="s">
        <v>123</v>
      </c>
      <c r="E5" s="41" t="s">
        <v>111</v>
      </c>
      <c r="F5" s="22" t="s">
        <v>124</v>
      </c>
    </row>
    <row r="6" spans="1:6" x14ac:dyDescent="0.25">
      <c r="A6" s="11" t="s">
        <v>125</v>
      </c>
      <c r="B6" s="16">
        <v>1660.4</v>
      </c>
      <c r="C6" s="14">
        <v>0.07839189452490748</v>
      </c>
      <c r="D6" s="16">
        <v>1539.7</v>
      </c>
      <c r="E6" s="14">
        <v>0.0598155286343613</v>
      </c>
      <c r="F6" s="16">
        <v>1452.8</v>
      </c>
    </row>
    <row r="7" spans="1:6" x14ac:dyDescent="0.25">
      <c r="A7" s="11" t="s">
        <v>126</v>
      </c>
      <c r="B7" s="16">
        <v>6920.7</v>
      </c>
      <c r="C7" s="14">
        <v>0.12081558618232464</v>
      </c>
      <c r="D7" s="16">
        <v>6174.7</v>
      </c>
      <c r="E7" s="14">
        <v>0.4362439523632304</v>
      </c>
      <c r="F7" s="16">
        <v>4299.2</v>
      </c>
    </row>
    <row r="8" spans="1:6" x14ac:dyDescent="0.25">
      <c r="A8" s="11" t="s">
        <v>127</v>
      </c>
      <c r="B8" s="16">
        <v>1814.9</v>
      </c>
      <c r="C8" s="14">
        <v>0.08507712543345701</v>
      </c>
      <c r="D8" s="16">
        <v>1672.6</v>
      </c>
      <c r="E8" s="14">
        <v>-0.04275167401133179</v>
      </c>
      <c r="F8" s="16">
        <v>1747.3</v>
      </c>
    </row>
    <row r="9" spans="1:6" x14ac:dyDescent="0.25">
      <c r="A9" s="11" t="s">
        <v>128</v>
      </c>
      <c r="B9" s="16">
        <v>4271.4</v>
      </c>
      <c r="C9" s="14">
        <v>0.44979974204059464</v>
      </c>
      <c r="D9" s="16">
        <v>2946.2</v>
      </c>
      <c r="E9" s="14">
        <v>0.03302945301542771</v>
      </c>
      <c r="F9" s="16">
        <v>2852</v>
      </c>
    </row>
    <row r="10" spans="1:6" x14ac:dyDescent="0.25">
      <c r="A10" s="11" t="s">
        <v>129</v>
      </c>
      <c r="B10" s="16">
        <v>30375.2</v>
      </c>
      <c r="C10" s="14">
        <v>0.39393327520536003</v>
      </c>
      <c r="D10" s="16">
        <v>21791</v>
      </c>
      <c r="E10" s="14">
        <v>0.19796591533809785</v>
      </c>
      <c r="F10" s="16">
        <v>18190</v>
      </c>
    </row>
    <row r="11" spans="1:6" x14ac:dyDescent="0.25">
      <c r="A11" s="11" t="s">
        <v>130</v>
      </c>
      <c r="B11" s="16">
        <v>45042.6</v>
      </c>
      <c r="C11" s="14">
        <v>0.3199606144612915</v>
      </c>
      <c r="D11" s="16">
        <v>34124.2</v>
      </c>
      <c r="E11" s="14">
        <v>0.19560776839176905</v>
      </c>
      <c r="F11" s="16">
        <v>28541.3</v>
      </c>
    </row>
    <row r="13" spans="1:6" x14ac:dyDescent="0.25">
      <c r="A13" s="18" t="s">
        <v>131</v>
      </c>
      <c r="B13" s="12"/>
      <c r="C13" s="40"/>
      <c r="D13" s="12"/>
      <c r="E13" s="40"/>
      <c r="F13" s="12"/>
    </row>
    <row r="14" spans="1:6" s="32" customFormat="1" x14ac:dyDescent="0.25">
      <c r="A14" s="21" t="s">
        <v>121</v>
      </c>
      <c r="B14" s="22" t="s">
        <v>122</v>
      </c>
      <c r="C14" s="41" t="s">
        <v>111</v>
      </c>
      <c r="D14" s="22" t="s">
        <v>123</v>
      </c>
      <c r="E14" s="41" t="s">
        <v>111</v>
      </c>
      <c r="F14" s="22" t="s">
        <v>124</v>
      </c>
    </row>
    <row r="15" spans="1:6" x14ac:dyDescent="0.25">
      <c r="A15" s="11" t="s">
        <v>132</v>
      </c>
      <c r="B15" s="16">
        <v>4294.8</v>
      </c>
      <c r="C15" s="14">
        <v>-0.19121690331814237</v>
      </c>
      <c r="D15" s="16">
        <v>5310.2</v>
      </c>
      <c r="E15" s="14">
        <v>0.72487494315598</v>
      </c>
      <c r="F15" s="16">
        <v>3078.6</v>
      </c>
    </row>
    <row r="16" spans="1:6" x14ac:dyDescent="0.25">
      <c r="A16" s="11" t="s">
        <v>133</v>
      </c>
      <c r="B16" s="16">
        <v>40747.9</v>
      </c>
      <c r="C16" s="14">
        <v>0.4141751029884882</v>
      </c>
      <c r="D16" s="16">
        <v>28813.9</v>
      </c>
      <c r="E16" s="14">
        <v>0.13160767865277984</v>
      </c>
      <c r="F16" s="16">
        <v>25462.8</v>
      </c>
    </row>
    <row r="17" spans="1:6" x14ac:dyDescent="0.25">
      <c r="A17" s="11" t="s">
        <v>130</v>
      </c>
      <c r="B17" s="16">
        <v>45042.7</v>
      </c>
      <c r="C17" s="14">
        <v>0.3199674130599781</v>
      </c>
      <c r="D17" s="16">
        <v>34124.1</v>
      </c>
      <c r="E17" s="14">
        <v>0.19560007567953908</v>
      </c>
      <c r="F17" s="16">
        <v>28541.4</v>
      </c>
    </row>
  </sheetData>
  <pageMargins left="0.7" right="0.7" top="0.75" bottom="0.75" header="0.3" footer="0.3"/>
  <pageSetup orientation="portrait" horizontalDpi="4294967295" verticalDpi="4294967295" scale="100" fitToWidth="1" fitToHeigh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owGridLines="0"/>
  </sheetViews>
  <sheetFormatPr defaultRowHeight="15" outlineLevelRow="0" outlineLevelCol="0" x14ac:dyDescent="55"/>
  <cols>
    <col min="1" max="1" width="28" style="6" customWidth="1"/>
    <col min="2" max="2" width="18" style="7" customWidth="1"/>
    <col min="3" max="3" width="26" style="7" customWidth="1"/>
    <col min="4" max="6" width="18" style="7" customWidth="1"/>
  </cols>
  <sheetData>
    <row r="1" spans="1:6" s="8" customFormat="1" x14ac:dyDescent="0.25">
      <c r="A1" s="9" t="s">
        <v>134</v>
      </c>
      <c r="B1" s="10"/>
      <c r="C1" s="10"/>
      <c r="D1" s="10"/>
      <c r="E1" s="10"/>
      <c r="F1" s="10"/>
    </row>
    <row r="2" spans="1:6" x14ac:dyDescent="0.25">
      <c r="A2" s="11" t="s">
        <v>10</v>
      </c>
      <c r="B2" s="12"/>
      <c r="C2" s="12"/>
      <c r="D2" s="12"/>
      <c r="E2" s="12"/>
      <c r="F2" s="12"/>
    </row>
    <row r="4" spans="1:6" s="32" customFormat="1" x14ac:dyDescent="0.25">
      <c r="A4" s="42" t="s">
        <v>135</v>
      </c>
      <c r="B4" s="36" t="s">
        <v>136</v>
      </c>
      <c r="C4" s="36" t="s">
        <v>137</v>
      </c>
      <c r="D4" s="36"/>
      <c r="E4" s="36"/>
      <c r="F4" s="36"/>
    </row>
    <row r="5" spans="1:6" x14ac:dyDescent="0.25">
      <c r="A5" s="11" t="s">
        <v>138</v>
      </c>
      <c r="B5" s="12" t="s">
        <v>139</v>
      </c>
      <c r="C5" s="12" t="s">
        <v>140</v>
      </c>
      <c r="D5" s="12"/>
      <c r="E5" s="12"/>
      <c r="F5" s="12"/>
    </row>
    <row r="6" spans="1:6" x14ac:dyDescent="0.25">
      <c r="A6" s="11" t="s">
        <v>141</v>
      </c>
      <c r="B6" s="12" t="s">
        <v>142</v>
      </c>
      <c r="C6" s="12" t="s">
        <v>143</v>
      </c>
      <c r="D6" s="12"/>
      <c r="E6" s="12"/>
      <c r="F6" s="12"/>
    </row>
    <row r="7" spans="1:6" x14ac:dyDescent="0.25">
      <c r="A7" s="11" t="s">
        <v>144</v>
      </c>
      <c r="B7" s="12" t="s">
        <v>145</v>
      </c>
      <c r="C7" s="12" t="s">
        <v>140</v>
      </c>
      <c r="D7" s="12"/>
      <c r="E7" s="12"/>
      <c r="F7" s="12"/>
    </row>
    <row r="9" spans="1:6" s="43" customFormat="1" x14ac:dyDescent="0.25">
      <c r="A9" s="44" t="s">
        <v>146</v>
      </c>
      <c r="B9" s="44"/>
      <c r="C9" s="44"/>
      <c r="D9" s="44"/>
      <c r="E9" s="44"/>
      <c r="F9" s="44"/>
    </row>
    <row r="10" spans="1:6" s="32" customFormat="1" x14ac:dyDescent="0.25">
      <c r="A10" s="42" t="s">
        <v>147</v>
      </c>
      <c r="B10" s="36" t="s">
        <v>148</v>
      </c>
      <c r="C10" s="36" t="s">
        <v>149</v>
      </c>
      <c r="D10" s="36" t="s">
        <v>150</v>
      </c>
      <c r="E10" s="36" t="s">
        <v>151</v>
      </c>
      <c r="F10" s="36" t="s">
        <v>152</v>
      </c>
    </row>
    <row r="11" spans="1:6" x14ac:dyDescent="0.25">
      <c r="A11" s="11" t="s">
        <v>138</v>
      </c>
      <c r="B11" s="45">
        <v>70.34335776901592</v>
      </c>
      <c r="C11" s="45">
        <v>110.5395622084536</v>
      </c>
      <c r="D11" s="45">
        <v>216.0545988619775</v>
      </c>
      <c r="E11" s="45">
        <v>472.3054021633927</v>
      </c>
      <c r="F11" s="45">
        <v>1004.905110985942</v>
      </c>
    </row>
    <row r="12" spans="1:6" x14ac:dyDescent="0.25">
      <c r="A12" s="11" t="s">
        <v>141</v>
      </c>
      <c r="B12" s="45">
        <v>169.9948395727455</v>
      </c>
      <c r="C12" s="45">
        <v>290.1932109878181</v>
      </c>
      <c r="D12" s="45">
        <v>444.7339742357685</v>
      </c>
      <c r="E12" s="45">
        <v>798.4606101144107</v>
      </c>
      <c r="F12" s="45">
        <v>1447.531815755803</v>
      </c>
    </row>
    <row r="13" spans="1:6" x14ac:dyDescent="0.25">
      <c r="A13" s="11" t="s">
        <v>144</v>
      </c>
      <c r="B13" s="45">
        <v>46.90143678761624</v>
      </c>
      <c r="C13" s="45">
        <v>72.95779055851415</v>
      </c>
      <c r="D13" s="45">
        <v>119.8592273461304</v>
      </c>
      <c r="E13" s="45">
        <v>265.7748084631586</v>
      </c>
      <c r="F13" s="45">
        <v>583.6623244681132</v>
      </c>
    </row>
  </sheetData>
  <mergeCells count="1">
    <mergeCell ref="A9:F9"/>
  </mergeCells>
  <pageMargins left="0.7" right="0.7" top="0.75" bottom="0.75" header="0.3" footer="0.3"/>
  <pageSetup orientation="portrait" horizontalDpi="4294967295" verticalDpi="4294967295" scale="100" fitToWidth="1" fitToHeigh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workbookViewId="0" showGridLines="0"/>
  </sheetViews>
  <sheetFormatPr defaultRowHeight="15" outlineLevelRow="0" outlineLevelCol="0" x14ac:dyDescent="55"/>
  <cols>
    <col min="1" max="1" width="30" style="6" customWidth="1"/>
    <col min="2" max="5" width="20" style="7" customWidth="1"/>
  </cols>
  <sheetData>
    <row r="1" spans="1:5" s="8" customFormat="1" x14ac:dyDescent="0.25">
      <c r="A1" s="9" t="s">
        <v>153</v>
      </c>
      <c r="B1" s="10"/>
      <c r="C1" s="10"/>
      <c r="D1" s="10"/>
      <c r="E1" s="10"/>
    </row>
    <row r="2" spans="1:5" x14ac:dyDescent="0.25">
      <c r="A2" s="11" t="s">
        <v>10</v>
      </c>
      <c r="B2" s="12"/>
      <c r="C2" s="12"/>
      <c r="D2" s="12"/>
      <c r="E2" s="12"/>
    </row>
    <row r="4" spans="1:5" s="17" customFormat="1" x14ac:dyDescent="0.25">
      <c r="A4" s="18" t="s">
        <v>154</v>
      </c>
      <c r="B4" s="31"/>
      <c r="C4" s="31"/>
      <c r="D4" s="31"/>
      <c r="E4" s="31"/>
    </row>
    <row r="5" spans="1:5" x14ac:dyDescent="0.25">
      <c r="A5" s="11" t="s">
        <v>155</v>
      </c>
      <c r="B5" s="19">
        <v>0.04222000000000001</v>
      </c>
      <c r="C5" s="12"/>
      <c r="D5" s="12"/>
      <c r="E5" s="12"/>
    </row>
    <row r="6" spans="1:5" x14ac:dyDescent="0.25">
      <c r="A6" s="11" t="s">
        <v>156</v>
      </c>
      <c r="B6" s="12" t="s">
        <v>157</v>
      </c>
      <c r="C6" s="12"/>
      <c r="D6" s="12"/>
      <c r="E6" s="12"/>
    </row>
    <row r="7" spans="1:5" x14ac:dyDescent="0.25">
      <c r="A7" s="11" t="s">
        <v>158</v>
      </c>
      <c r="B7" s="19">
        <v>0.003</v>
      </c>
      <c r="C7" s="12"/>
      <c r="D7" s="12"/>
      <c r="E7" s="12"/>
    </row>
    <row r="8" spans="1:5" x14ac:dyDescent="0.25">
      <c r="A8" s="11" t="s">
        <v>159</v>
      </c>
      <c r="B8" s="25">
        <f>=INDEX(B:B,MATCH("Ten-year bond yield",A:A,0))-INDEX(B:B,MATCH("Default spread",A:A,0))</f>
      </c>
      <c r="C8" s="12"/>
      <c r="D8" s="12"/>
      <c r="E8" s="12"/>
    </row>
    <row r="10" spans="1:5" s="17" customFormat="1" x14ac:dyDescent="0.25">
      <c r="A10" s="18" t="s">
        <v>160</v>
      </c>
      <c r="B10" s="31"/>
      <c r="C10" s="31"/>
      <c r="D10" s="31"/>
      <c r="E10" s="31"/>
    </row>
    <row r="11" spans="1:5" s="32" customFormat="1" x14ac:dyDescent="0.25">
      <c r="A11" s="21" t="s">
        <v>121</v>
      </c>
      <c r="B11" s="22" t="s">
        <v>161</v>
      </c>
      <c r="C11" s="22" t="s">
        <v>162</v>
      </c>
      <c r="D11" s="22" t="s">
        <v>163</v>
      </c>
      <c r="E11" s="22" t="s">
        <v>164</v>
      </c>
    </row>
    <row r="12" spans="1:5" x14ac:dyDescent="0.25">
      <c r="A12" s="11" t="s">
        <v>132</v>
      </c>
      <c r="B12" s="20">
        <v>4294.8</v>
      </c>
      <c r="C12" s="20">
        <v>4.29</v>
      </c>
      <c r="D12" s="25">
        <f>(B12*C12)/SUMPRODUCT(B12:B13,C12:C13)</f>
      </c>
      <c r="E12" s="20">
        <v>0.81</v>
      </c>
    </row>
    <row r="13" spans="1:5" x14ac:dyDescent="0.25">
      <c r="A13" s="11" t="s">
        <v>133</v>
      </c>
      <c r="B13" s="20">
        <v>40747.9</v>
      </c>
      <c r="C13" s="20">
        <v>4.29</v>
      </c>
      <c r="D13" s="25">
        <f>(B13*C13)/SUMPRODUCT(B12:B13,C12:C13)</f>
      </c>
      <c r="E13" s="20">
        <v>0.81</v>
      </c>
    </row>
    <row r="15" spans="1:5" x14ac:dyDescent="0.25">
      <c r="A15" s="11" t="s">
        <v>164</v>
      </c>
      <c r="B15" s="46">
        <f>=SUMPRODUCT(INDEX(D:D,MATCH("Segment",A:A,0)+1):INDEX(D:D,MATCH(TRUE,INDEX((INDEX(A:A,MATCH("Segment",A:A,0)+1):A1048576)="",0),0)+MATCH("Segment",A:A,0)+1-1),INDEX(E:E,MATCH("Segment",A:A,0)+1):INDEX(E:E,MATCH(TRUE,INDEX((INDEX(A:A,MATCH("Segment",A:A,0)+1):A1048576)="",0),0)+MATCH("Segment",A:A,0)+1-1))</f>
      </c>
      <c r="C15" s="12"/>
      <c r="D15" s="12"/>
      <c r="E15" s="12"/>
    </row>
    <row r="16" spans="1:5" x14ac:dyDescent="0.25">
      <c r="A16" s="11" t="s">
        <v>165</v>
      </c>
      <c r="B16" s="19">
        <v>0.03618589162220365</v>
      </c>
      <c r="C16" s="12"/>
      <c r="D16" s="12"/>
      <c r="E16" s="12"/>
    </row>
    <row r="17" spans="1:5" x14ac:dyDescent="0.25">
      <c r="A17" s="11" t="s">
        <v>166</v>
      </c>
      <c r="B17" s="19">
        <v>0.003553232868643019</v>
      </c>
      <c r="C17" s="12"/>
      <c r="D17" s="12"/>
      <c r="E17" s="12"/>
    </row>
    <row r="18" spans="1:5" x14ac:dyDescent="0.25">
      <c r="A18" s="11" t="s">
        <v>167</v>
      </c>
      <c r="B18" s="19">
        <v>0.2243092412516151</v>
      </c>
      <c r="C18" s="12"/>
      <c r="D18" s="12"/>
      <c r="E18" s="12"/>
    </row>
    <row r="19" spans="1:5" x14ac:dyDescent="0.25">
      <c r="A19" s="11" t="s">
        <v>168</v>
      </c>
      <c r="B19" s="46">
        <f>=INDEX(B:B,MATCH("Business beta",A:A,0))*(1+(1-INDEX(B:B,MATCH("Marginal tax rate",A:A,0)))*INDEX(B:B,MATCH("Debt-to-equity ratio",A:A,0)))*(1-INDEX(B:B,MATCH("Cash-to-firm ratio",A:A,0)))</f>
      </c>
      <c r="C19" s="12"/>
      <c r="D19" s="12"/>
      <c r="E19" s="12"/>
    </row>
    <row r="21" spans="1:5" s="17" customFormat="1" x14ac:dyDescent="0.25">
      <c r="A21" s="18" t="s">
        <v>169</v>
      </c>
      <c r="B21" s="31"/>
      <c r="C21" s="31"/>
      <c r="D21" s="31"/>
      <c r="E21" s="31"/>
    </row>
    <row r="22" spans="1:5" s="32" customFormat="1" x14ac:dyDescent="0.25">
      <c r="A22" s="21" t="s">
        <v>170</v>
      </c>
      <c r="B22" s="22" t="s">
        <v>161</v>
      </c>
      <c r="C22" s="22" t="s">
        <v>163</v>
      </c>
      <c r="D22" s="22" t="s">
        <v>171</v>
      </c>
      <c r="E22" s="22" t="s">
        <v>172</v>
      </c>
    </row>
    <row r="23" spans="1:5" x14ac:dyDescent="0.25">
      <c r="A23" s="11" t="s">
        <v>173</v>
      </c>
      <c r="B23" s="20">
        <v>1660.4</v>
      </c>
      <c r="C23" s="25">
        <f>B23/SUM(B23:B27)</f>
      </c>
      <c r="D23" s="19">
        <v>0.0526</v>
      </c>
      <c r="E23" s="19">
        <v>0.25</v>
      </c>
    </row>
    <row r="24" spans="1:5" x14ac:dyDescent="0.25">
      <c r="A24" s="11" t="s">
        <v>157</v>
      </c>
      <c r="B24" s="20">
        <v>30375.2</v>
      </c>
      <c r="C24" s="25">
        <f>B24/SUM(B23:B27)</f>
      </c>
      <c r="D24" s="19">
        <v>0.0453</v>
      </c>
      <c r="E24" s="19">
        <v>0.21</v>
      </c>
    </row>
    <row r="25" spans="1:5" x14ac:dyDescent="0.25">
      <c r="A25" s="11" t="s">
        <v>174</v>
      </c>
      <c r="B25" s="20">
        <v>4271.4</v>
      </c>
      <c r="C25" s="25">
        <f>B25/SUM(B23:B27)</f>
      </c>
      <c r="D25" s="19">
        <v>0.069</v>
      </c>
      <c r="E25" s="19">
        <v>0.2557</v>
      </c>
    </row>
    <row r="26" spans="1:5" x14ac:dyDescent="0.25">
      <c r="A26" s="11" t="s">
        <v>175</v>
      </c>
      <c r="B26" s="20">
        <v>1814.9</v>
      </c>
      <c r="C26" s="25">
        <f>B26/SUM(B23:B27)</f>
      </c>
      <c r="D26" s="19">
        <v>0.0526</v>
      </c>
      <c r="E26" s="19">
        <v>0.3062</v>
      </c>
    </row>
    <row r="27" spans="1:5" x14ac:dyDescent="0.25">
      <c r="A27" s="11" t="s">
        <v>126</v>
      </c>
      <c r="B27" s="20">
        <v>6920.7</v>
      </c>
      <c r="C27" s="25">
        <f>B27/SUM(B23:B27)</f>
      </c>
      <c r="D27" s="19">
        <v>0.0639</v>
      </c>
      <c r="E27" s="19">
        <v>0.2401</v>
      </c>
    </row>
    <row r="29" spans="1:5" x14ac:dyDescent="0.25">
      <c r="A29" s="11" t="s">
        <v>176</v>
      </c>
      <c r="B29" s="25">
        <f>=SUMPRODUCT(INDEX(C:C,MATCH("Country",A:A,0)+1):INDEX(C:C,MATCH(TRUE,INDEX((INDEX(A:A,MATCH("Country",A:A,0)+1):A1048576)="",0),0)+MATCH("Country",A:A,0)+1-1),INDEX(D:D,MATCH("Country",A:A,0)+1):INDEX(D:D,MATCH(TRUE,INDEX((INDEX(A:A,MATCH("Country",A:A,0)+1):A1048576)="",0),0)+MATCH("Country",A:A,0)+1-1))</f>
      </c>
      <c r="C29" s="12"/>
      <c r="D29" s="12"/>
      <c r="E29" s="12"/>
    </row>
    <row r="31" spans="1:5" s="17" customFormat="1" x14ac:dyDescent="0.25">
      <c r="A31" s="18" t="s">
        <v>177</v>
      </c>
      <c r="B31" s="31"/>
      <c r="C31" s="31"/>
      <c r="D31" s="31"/>
      <c r="E31" s="31"/>
    </row>
    <row r="32" spans="1:5" x14ac:dyDescent="0.25">
      <c r="A32" s="11" t="s">
        <v>159</v>
      </c>
      <c r="B32" s="25">
        <f>=INDEX(B:B,MATCH("Risk-free rate",A:A,0))</f>
      </c>
      <c r="C32" s="12"/>
      <c r="D32" s="12"/>
      <c r="E32" s="12"/>
    </row>
    <row r="33" spans="1:5" x14ac:dyDescent="0.25">
      <c r="A33" s="11" t="s">
        <v>178</v>
      </c>
      <c r="B33" s="25">
        <f>=INDEX(B:B,MATCH("Equity beta",A:A,0))*INDEX(B:B,MATCH("Equity risk premium",A:A,0))</f>
      </c>
      <c r="C33" s="12"/>
      <c r="D33" s="12"/>
      <c r="E33" s="12"/>
    </row>
    <row r="34" spans="1:5" x14ac:dyDescent="0.25">
      <c r="A34" s="11" t="s">
        <v>168</v>
      </c>
      <c r="B34" s="46">
        <f>=INDEX(B:B,MATCH("Equity beta",A:A,0))</f>
      </c>
      <c r="C34" s="12"/>
      <c r="D34" s="12"/>
      <c r="E34" s="12"/>
    </row>
    <row r="35" spans="1:5" x14ac:dyDescent="0.25">
      <c r="A35" s="11" t="s">
        <v>179</v>
      </c>
      <c r="B35" s="25">
        <f>=INDEX(B:B,MATCH("Company equity risk premium",A:A,0))</f>
      </c>
      <c r="C35" s="12"/>
      <c r="D35" s="12"/>
      <c r="E35" s="12"/>
    </row>
    <row r="36" spans="1:5" x14ac:dyDescent="0.25">
      <c r="A36" s="11" t="s">
        <v>153</v>
      </c>
      <c r="B36" s="25">
        <f>=INDEX(B:B,MATCH("Risk-free rate",A:A,0))+INDEX(B:B,MATCH("Equity beta",A:A,0))*INDEX(B:B,MATCH("Equity risk premium",A:A,0))</f>
      </c>
      <c r="C36" s="12"/>
      <c r="D36" s="12"/>
      <c r="E36" s="12"/>
    </row>
    <row r="38" spans="1:5" s="17" customFormat="1" x14ac:dyDescent="0.25">
      <c r="A38" s="18" t="s">
        <v>180</v>
      </c>
      <c r="B38" s="31"/>
      <c r="C38" s="31"/>
      <c r="D38" s="31"/>
      <c r="E38" s="31"/>
    </row>
    <row r="39" spans="1:5" x14ac:dyDescent="0.25">
      <c r="A39" s="11" t="s">
        <v>159</v>
      </c>
      <c r="B39" s="25">
        <f>=INDEX(B:B,MATCH("Risk-free rate",A:A,0))</f>
      </c>
      <c r="C39" s="12"/>
      <c r="D39" s="12"/>
      <c r="E39" s="12"/>
    </row>
    <row r="40" spans="1:5" x14ac:dyDescent="0.25">
      <c r="A40" s="11" t="s">
        <v>181</v>
      </c>
      <c r="B40" s="25">
        <f>=INDEX(B:B,MATCH("Stable beta (clamped)",A:A,0))*INDEX(B:B,MATCH("Equity risk premium",A:A,0))</f>
      </c>
      <c r="C40" s="12"/>
      <c r="D40" s="12"/>
      <c r="E40" s="12"/>
    </row>
    <row r="41" spans="1:5" x14ac:dyDescent="0.25">
      <c r="A41" s="11" t="s">
        <v>182</v>
      </c>
      <c r="B41" s="46">
        <f>=MIN(MAX(INDEX(B:B,MATCH("Equity beta",A:A,0)),0.8),1.2)</f>
      </c>
      <c r="C41" s="12"/>
      <c r="D41" s="12"/>
      <c r="E41" s="12"/>
    </row>
    <row r="42" spans="1:5" x14ac:dyDescent="0.25">
      <c r="A42" s="11" t="s">
        <v>179</v>
      </c>
      <c r="B42" s="25">
        <f>=INDEX(B:B,MATCH("Company equity risk premium",A:A,0))</f>
      </c>
      <c r="C42" s="12"/>
      <c r="D42" s="12"/>
      <c r="E42" s="12"/>
    </row>
    <row r="43" spans="1:5" x14ac:dyDescent="0.25">
      <c r="A43" s="11" t="s">
        <v>183</v>
      </c>
      <c r="B43" s="25">
        <f>=INDEX(B:B,MATCH("Risk-free rate",A:A,0))+INDEX(B:B,MATCH("Stable beta (clamped)",A:A,0))*INDEX(B:B,MATCH("Equity risk premium",A:A,0))</f>
      </c>
      <c r="C43" s="12"/>
      <c r="D43" s="12"/>
      <c r="E43" s="12"/>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Summary</vt:lpstr>
      <vt:lpstr>Assumptions</vt:lpstr>
      <vt:lpstr>DCF model</vt:lpstr>
      <vt:lpstr>Other claims</vt:lpstr>
      <vt:lpstr>Financials</vt:lpstr>
      <vt:lpstr>Segments</vt:lpstr>
      <vt:lpstr>Multiples</vt:lpstr>
      <vt:lpstr>Cost of equity</vt:lpstr>
      <vt:lpstr>Scenarios</vt:lpstr>
      <vt:lpstr>Sensitivity</vt:lpstr>
      <vt:lpstr>Reverse DCF</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dc:title/>
  <dc:subject/>
  <dc:description/>
  <cp:keywords/>
  <cp:category/>
  <cp:lastModifiedBy>Unknown</cp:lastModifiedBy>
  <dcterms:created xsi:type="dcterms:W3CDTF">2026-02-02T09:54:42Z</dcterms:created>
  <dcterms:modified xsi:type="dcterms:W3CDTF">2026-02-02T09:54:42Z</dcterms:modified>
</cp:coreProperties>
</file>