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Cover" state="visible" r:id="rId4"/>
    <sheet sheetId="2" name="Summary" state="visible" r:id="rId5"/>
    <sheet sheetId="3" name="Assumptions" state="visible" r:id="rId6"/>
    <sheet sheetId="4" name="DCF model" state="visible" r:id="rId7"/>
    <sheet sheetId="5" name="Other claims" state="visible" r:id="rId8"/>
    <sheet sheetId="6" name="Financials" state="visible" r:id="rId9"/>
    <sheet sheetId="7" name="Segments" state="visible" r:id="rId10"/>
    <sheet sheetId="8" name="Multiples" state="visible" r:id="rId11"/>
    <sheet sheetId="9" name="Cost of equity" state="visible" r:id="rId12"/>
    <sheet sheetId="10" name="Scenarios" state="visible" r:id="rId13"/>
    <sheet sheetId="11" name="Sensitivity" state="visible" r:id="rId14"/>
    <sheet sheetId="12" name="Reverse DCF" state="visible" r:id="rId15"/>
  </sheets>
  <calcPr calcId="171027"/>
</workbook>
</file>

<file path=xl/sharedStrings.xml><?xml version="1.0" encoding="utf-8"?>
<sst xmlns="http://schemas.openxmlformats.org/spreadsheetml/2006/main" count="326" uniqueCount="241">
  <si>
    <t>ValuationBot.ai</t>
  </si>
  <si>
    <t>PayPal Holdings, Inc. (PYPL)</t>
  </si>
  <si>
    <t>Analysis ID: 65ab6645-b924-4acd-8b2d-75c692af4d6b</t>
  </si>
  <si>
    <t>Created: Feb 05, 2026 08:36am</t>
  </si>
  <si>
    <t>User: Edmund Simms</t>
  </si>
  <si>
    <t>Email: edmund.simms@gmail.com</t>
  </si>
  <si>
    <t>View this analysis online</t>
  </si>
  <si>
    <t>© 2025–2026 Lyceum Analytics Ltd. ValuationBot is a trading name of Lyceum Analytics Ltd.</t>
  </si>
  <si>
    <t>Not financial advice. Use at your own risk.</t>
  </si>
  <si>
    <t>Summary</t>
  </si>
  <si>
    <t>(all financial data in US$ millions unless stated otherwise)</t>
  </si>
  <si>
    <t>Company</t>
  </si>
  <si>
    <t>PayPal Holdings, Inc.</t>
  </si>
  <si>
    <t>Ticker</t>
  </si>
  <si>
    <t>PYPL</t>
  </si>
  <si>
    <t>Created</t>
  </si>
  <si>
    <t>Feb 05, 2026 08:36am</t>
  </si>
  <si>
    <t>Current price</t>
  </si>
  <si>
    <t>Estimated value</t>
  </si>
  <si>
    <t>Upside</t>
  </si>
  <si>
    <t>Expected IRR</t>
  </si>
  <si>
    <t>Currency</t>
  </si>
  <si>
    <t>USD</t>
  </si>
  <si>
    <t>Valuation date</t>
  </si>
  <si>
    <t>Latest financials date</t>
  </si>
  <si>
    <t>Latest filing</t>
  </si>
  <si>
    <t>10-K Feb 03, 2026</t>
  </si>
  <si>
    <t>Industry</t>
  </si>
  <si>
    <t>Financial - Credit Services</t>
  </si>
  <si>
    <t>Sector</t>
  </si>
  <si>
    <t>Financial Services</t>
  </si>
  <si>
    <t>Recommendation</t>
  </si>
  <si>
    <t>Strong Buy</t>
  </si>
  <si>
    <t>Exchange</t>
  </si>
  <si>
    <t>NASDAQ</t>
  </si>
  <si>
    <t>Market cap</t>
  </si>
  <si>
    <t>Share count</t>
  </si>
  <si>
    <t>Assumptions</t>
  </si>
  <si>
    <t>Valuation story</t>
  </si>
  <si>
    <t>PayPal operates a large global digital payments platform with strong brand reach and a deep merchant network. I place it in a mature platform stage where growth comes from product upgrades, wider merchant adoption, and a measured expansion of credit and value-added services, rather than from rapid market creation. Competition stays intense in unbranded processing and wallets, so PayPal wins mainly through better checkout, data-driven risk tools, and ecosystem bundling. Margins improve gradually as scale and cost discipline offset ongoing investment, funding costs, and regulatory friction.</t>
  </si>
  <si>
    <t>Revenue growth rate</t>
  </si>
  <si>
    <t>PayPal sits in a mature platform phase, so I expect steady but not rapid growth. Recent adjusted revenue growth has already slowed to mid single digits, and analysts’ revenue path implies roughly mid single-digit growth over the next several years. I set 5% to match that trajectory and to reflect ongoing product roll-outs and credit-led fee growth without assuming a big share gain in a competitive payments market.</t>
  </si>
  <si>
    <t>Stable growth rate</t>
  </si>
  <si>
    <t>In maturity, PayPal should not outgrow the wider economy for long. I set terminal growth slightly below the risk-free rate to reflect a large, saturated payments platform with ongoing pricing pressure and some regulatory drag. This keeps the long-run assumption conservative and still consistent with modest nominal economic growth.</t>
  </si>
  <si>
    <t>Years to stability</t>
  </si>
  <si>
    <t>I treat PayPal as a mature compounder with some self-help and product catalysts, not a high-growth disruptor. A 10-year glide path lets growth fade from a mid single-digit pace to a stable rate as branded checkout stabilises and unbranded processing remains competitive. With Y = 10, the 5% initial rate reads as a plausible 5-year CAGR and stays close to the analysts’ medium-term revenue slope.</t>
  </si>
  <si>
    <t>Sales-to-equity ratio</t>
  </si>
  <si>
    <t>PayPal looks moderately capital-light but not asset-free because credit products, risk buffers, and platform investment still tie up capital. The adjusted history sits near 0.9 to 1.0 and industry medians cluster below 1.0, so I keep the ratio around 1. This fits a base case where PayPal funds growth mainly through operating cash flow and balance sheet efficiency rather than heavy equity build.</t>
  </si>
  <si>
    <t>Stable net profit margin</t>
  </si>
  <si>
    <t>Adjusted margins have recovered from the post-peak dip and now sit in the mid-teens, with room for operating leverage if credit losses stay controlled. I set a stable margin at 18%, modestly above the industry median but below top-decile levels, to reflect scale and product breadth tempered by pricing pressure in unbranded volumes and higher compliance costs. This also allows for the fact that our adjusted fundamentals capitalise intangibles, which can lift the sustainable margin versus consensus net income margins.</t>
  </si>
  <si>
    <t>FY+1 net profit margin</t>
  </si>
  <si>
    <t>I expect a small step down from the latest adjusted margin because management signals near-term investment headwinds and execution risk from platform and product changes. At the same time, PayPal’s cost discipline and low reported loss rates should stop a sharp fall. A 16% margin bridges to the longer-run improvement without assuming a quick rebound.</t>
  </si>
  <si>
    <t>Margin convergence</t>
  </si>
  <si>
    <t>I expect margin repair to come through over a medium horizon as PayPal scales new checkout and merchant tools and spreads fixed costs. Competition and funding costs should slow the pace of improvement, so I do not force a fast snap-back. Five years gives a realistic runway for benefits from AI-led features, merchant platform simplification, and credit scaling to show up in adjusted profitability.</t>
  </si>
  <si>
    <t>Stable ROE</t>
  </si>
  <si>
    <t>PayPal has produced adjusted ROE in the low-to-high teens and sits around the upper half of industry outcomes. I assume a stable 15% ROE, which stays comfortably above the stable cost of equity and reflects a durable network business with ongoing buybacks and solid cash generation. I do not assume a return to peak ROE because competitive intensity should cap excess returns over time.</t>
  </si>
  <si>
    <t>Credit rating</t>
  </si>
  <si>
    <t>A3/A-</t>
  </si>
  <si>
    <t>PayPal has meaningful scale, strong free cash flow, and good access to liquidity, while keeping debt at a manageable level for the business model. The firm also relies on capital markets for flexibility, which argues against the very top ratings. An A- area rating fits a base case of stable cash generation, continued buybacks, and disciplined credit risk.</t>
  </si>
  <si>
    <t>Recovery ratio</t>
  </si>
  <si>
    <t>PayPal’s value sits largely in intangibles, customer relationships, and platform capability rather than hard assets, which usually lowers recovery. Still, it holds substantial cash and investment balances and runs a diversified payments franchise with saleable operations. I set a mid-range recovery to reflect that mix of limited hard collateral and meaningful going-concern value.</t>
  </si>
  <si>
    <t>DCF model</t>
  </si>
  <si>
    <t/>
  </si>
  <si>
    <t>Base year</t>
  </si>
  <si>
    <t>Revenue</t>
  </si>
  <si>
    <t>Growth, year-on-year, %</t>
  </si>
  <si>
    <t>Less: All expenses</t>
  </si>
  <si>
    <t>Net profit to common equity</t>
  </si>
  <si>
    <t>Net profit margin, %</t>
  </si>
  <si>
    <t>Less: Net reinvestment</t>
  </si>
  <si>
    <t>Invested common equity</t>
  </si>
  <si>
    <t>Return on common equity, %</t>
  </si>
  <si>
    <t>Sales to equity ratio, x</t>
  </si>
  <si>
    <t>Free cash flow to equity</t>
  </si>
  <si>
    <t>Plus: Stable value</t>
  </si>
  <si>
    <t>Free cash flows to be discounted</t>
  </si>
  <si>
    <t>Multiply: Discount factor</t>
  </si>
  <si>
    <t>Cost of equity, %</t>
  </si>
  <si>
    <t>Present value of free cash flows to equity</t>
  </si>
  <si>
    <t>Sum of PV of FCFE</t>
  </si>
  <si>
    <t>Less: Distress adjustments</t>
  </si>
  <si>
    <t>Distress likelihood, %</t>
  </si>
  <si>
    <t>Recovery ratio, %</t>
  </si>
  <si>
    <t>Adjusted equity value</t>
  </si>
  <si>
    <t>Less: Employee options</t>
  </si>
  <si>
    <t>Less: Unfunded liabilities</t>
  </si>
  <si>
    <t>Value of common shareholders' equity</t>
  </si>
  <si>
    <t>Divide: Share count</t>
  </si>
  <si>
    <t>Equity value per share</t>
  </si>
  <si>
    <t>Other claims</t>
  </si>
  <si>
    <t>Employee stock options</t>
  </si>
  <si>
    <t>Number</t>
  </si>
  <si>
    <t>Strike price</t>
  </si>
  <si>
    <t>Maturity</t>
  </si>
  <si>
    <t>Assumed volatility</t>
  </si>
  <si>
    <t>Assumed dividend yield</t>
  </si>
  <si>
    <t>Value</t>
  </si>
  <si>
    <t>Unfunded liabilities</t>
  </si>
  <si>
    <t>Item</t>
  </si>
  <si>
    <t>Explanation</t>
  </si>
  <si>
    <t>Pension Obligations</t>
  </si>
  <si>
    <t>Post Retirement Benefits</t>
  </si>
  <si>
    <t>Healthcare Liabilities</t>
  </si>
  <si>
    <t>Deferred Compensation</t>
  </si>
  <si>
    <t>Lawsuit Contingencies</t>
  </si>
  <si>
    <t>Environmental Liabilities</t>
  </si>
  <si>
    <t>Other</t>
  </si>
  <si>
    <t>Financials</t>
  </si>
  <si>
    <t>Fiscal Year</t>
  </si>
  <si>
    <t>YoY Growth</t>
  </si>
  <si>
    <t>Adjusted Net Profit</t>
  </si>
  <si>
    <t>Margin</t>
  </si>
  <si>
    <t>Reinvestment</t>
  </si>
  <si>
    <t>FCFE</t>
  </si>
  <si>
    <t>Adjusted Equity</t>
  </si>
  <si>
    <t>Return on Equity (ROE)</t>
  </si>
  <si>
    <t>Sales to Equity Ratio</t>
  </si>
  <si>
    <t>Segments</t>
  </si>
  <si>
    <t>Geographic segments</t>
  </si>
  <si>
    <t>Segment</t>
  </si>
  <si>
    <t>FY2025</t>
  </si>
  <si>
    <t>FY2024</t>
  </si>
  <si>
    <t>FY2023</t>
  </si>
  <si>
    <t>Countries Other Than US And United Kingdom</t>
  </si>
  <si>
    <t>UNITED STATES</t>
  </si>
  <si>
    <t>Total</t>
  </si>
  <si>
    <t>Operating segments</t>
  </si>
  <si>
    <t>Other Value Added Services</t>
  </si>
  <si>
    <t>Transaction Revenue</t>
  </si>
  <si>
    <t>Multiples</t>
  </si>
  <si>
    <t>Metric</t>
  </si>
  <si>
    <t>Company multiple</t>
  </si>
  <si>
    <t>Percentile of industry multiples</t>
  </si>
  <si>
    <t>Price-to-sales</t>
  </si>
  <si>
    <t>1.2x</t>
  </si>
  <si>
    <t>17th</t>
  </si>
  <si>
    <t>Price-to-earnings</t>
  </si>
  <si>
    <t>6.9x</t>
  </si>
  <si>
    <t>≤10th</t>
  </si>
  <si>
    <t>Price-to-book</t>
  </si>
  <si>
    <t>20th</t>
  </si>
  <si>
    <t>Values show the company's implied share price if it traded at the peer multiple for the listed percentile.</t>
  </si>
  <si>
    <t>Implied prices</t>
  </si>
  <si>
    <t>P10</t>
  </si>
  <si>
    <t>P25</t>
  </si>
  <si>
    <t>P50</t>
  </si>
  <si>
    <t>P75</t>
  </si>
  <si>
    <t>P90</t>
  </si>
  <si>
    <t>Cost of equity</t>
  </si>
  <si>
    <t>Risk-free rate calculation</t>
  </si>
  <si>
    <t>Ten-year bond yield</t>
  </si>
  <si>
    <t>Bond yield country</t>
  </si>
  <si>
    <t>United States of America</t>
  </si>
  <si>
    <t>Default spread</t>
  </si>
  <si>
    <t>Risk-free rate</t>
  </si>
  <si>
    <t>Beta calculation</t>
  </si>
  <si>
    <t>Sales</t>
  </si>
  <si>
    <t>MC/Sales</t>
  </si>
  <si>
    <t>Weight</t>
  </si>
  <si>
    <t>Equity beta</t>
  </si>
  <si>
    <t>Beta selection notes</t>
  </si>
  <si>
    <t>Financial - Credit Services (50th percentile of the industry)</t>
  </si>
  <si>
    <t>Transaction revenue is driven by broad-based payment volumes across many merchants and consumers, which is cyclical but relatively diversified and repeat-usage in nature. With mixed forces (economic sensitivity versus essential payment rails and scale), the middle of the industry range fits best.</t>
  </si>
  <si>
    <t>Financial - Credit Services (60th percentile of the industry)</t>
  </si>
  <si>
    <t>Other value added services are typically more discretionary add-ons (such as marketing, rewards, instalments and ancillary tools), so demand can soften faster in a downturn than core payment processing. This area also tends to have higher product and execution risk than plain transactions, pushing it above the median but not into the highest-risk tail.</t>
  </si>
  <si>
    <t>Equity risk premium (ERP) calculation</t>
  </si>
  <si>
    <t>Country</t>
  </si>
  <si>
    <t>ERP</t>
  </si>
  <si>
    <t>Tax rate</t>
  </si>
  <si>
    <t>Global (ex United States)</t>
  </si>
  <si>
    <t>Company equity risk premium</t>
  </si>
  <si>
    <t>Cost of equity calculation</t>
  </si>
  <si>
    <t>Plus: Equity beta × Equity risk premium</t>
  </si>
  <si>
    <t>Equity risk premium</t>
  </si>
  <si>
    <t>Stable cost of equity calculation</t>
  </si>
  <si>
    <t>Plus: Stable beta (clamped) × Equity risk premium</t>
  </si>
  <si>
    <t>Stable beta (clamped)</t>
  </si>
  <si>
    <t>Stable cost of equity</t>
  </si>
  <si>
    <t>Scenarios</t>
  </si>
  <si>
    <t>Case</t>
  </si>
  <si>
    <t>Per Share</t>
  </si>
  <si>
    <t>Upside %</t>
  </si>
  <si>
    <t>base</t>
  </si>
  <si>
    <t>bear</t>
  </si>
  <si>
    <t>bull</t>
  </si>
  <si>
    <t>Bull-case scenario</t>
  </si>
  <si>
    <t>Value per share</t>
  </si>
  <si>
    <t>PayPal stays in a mature platform stage, but it re-accelerates growth through better execution and product focus. PayPal Open, Fastlane, and AI-enabled checkout improve conversion and deepen merchant adoption, while Venmo and value-added services lift monetisation per user. Credit expands mainly through off-balance-sheet funding and disciplined risk models, so fee income grows without a large rise in balance-sheet strain. PayPal protects pricing through better product value, and it lifts margins through operating leverage and mix, even as competition stays intense.</t>
  </si>
  <si>
    <t>Value driver</t>
  </si>
  <si>
    <t>I treat this as a mature platform with a renewed growth engine, not a young disruptor. The analyst revenue path implies a steady mid single-digit CAGR over the medium term, but the bull case assumes PayPal Open, Fastlane, and AI-led checkout lift conversion and wallet share, and credit-related fees scale faster via loan sales. A 7.5% rate stays plausible for a 5-year CAGR in a large base, while still beating the consensus slope.</t>
  </si>
  <si>
    <t>I keep terminal growth close to the risk-free rate because PayPal will mature into an economy-like grower even in a bull case. I set it slightly below the risk-free rate to respect long-run saturation and regulation in payments. This still reflects a stronger long-run position than the base case without breaking the stable-growth constraint.</t>
  </si>
  <si>
    <t>I keep PayPal in a mature stage, so I do not stretch the high-growth runway too far. With Y set to 10, the 7.5% initial growth reads as a plausible 5-year CAGR that assumes sustained product traction and share gains, then a fade as penetration rises. This fits a bull case where execution beats history, but the market still normalises over time.</t>
  </si>
  <si>
    <t>The bull case assumes PayPal scales more through software, partnerships, and off-balance-sheet credit funding, so it needs less incremental equity per $1 of sales. History sits near 1.0 and the industry upper-middle range supports a modest uplift for a capital-light platform. I set 1.15 to reflect better capital recycling via forward-flow loan sales and stronger operating leverage.</t>
  </si>
  <si>
    <t>I assume PayPal sustains a margin above the industry median because scale, better checkout mix, and disciplined loss rates lift profitability. The adjusted margin has already rebounded into the high teens, and the bull case assumes credit losses stay contained while product-led growth spreads fixed costs. I set 21% to sit below prior peak levels but closer to upper-industry outcomes, which also fits our intangible-capitalised accounting.</t>
  </si>
  <si>
    <t>I assume near-term investment still weighs on reported profitability, but better mix and cost control limit the dip. The bull case also assumes early wins from platform simplification and higher-margin value-added services, so margin holds near the recent adjusted level rather than stepping down. I set this to bridge smoothly into a higher long-run margin without forcing a sudden jump.</t>
  </si>
  <si>
    <t>In the bull case, execution improves faster because PayPal tightens product focus and drives higher conversion and take-rate quality. Credit funding and risk models also scale without a matching rise in losses, so operating leverage shows up earlier. I use four years to reflect a quicker path to the stable margin than in the base case.</t>
  </si>
  <si>
    <t>I assume PayPal keeps returns in the upper part of the industry range because it scales a network business with limited balance-sheet drag and active capital recycling. Recent adjusted ROE already sits in the high teens, and the bull case keeps that performance more persistent through better margins and capital efficiency. An 18% stable ROE stays well above the stable cost of equity, which fits value creation in maturity.</t>
  </si>
  <si>
    <t>A2/A</t>
  </si>
  <si>
    <t>I assume stronger and steadier cash generation, lower earnings volatility from credit losses, and continued conservative leverage despite using debt markets tactically. PayPal also keeps ample liquidity through revolvers and commercial paper access, which supports an upper investment-grade profile. I move the rating one notch better than the base case to reflect reduced business risk in this upside scenario.</t>
  </si>
  <si>
    <t>PayPal still relies heavily on intangible value, so I do not assume a high recovery. In the bull case, stronger franchise value, cash generation, and more saleable platform cash flows increase going-concern recovery slightly. I set a modest uplift to reflect that improvement without treating it like an asset-heavy lender.</t>
  </si>
  <si>
    <t>Bear-case scenario</t>
  </si>
  <si>
    <t>PayPal sits in a mature platform stage, but the bear case assumes the moat weakens. Competition intensifies in both branded checkout and unbranded processing, so take rates fall and PayPal must spend more to defend merchants and consumers. Credit growth slows because funding stays less available and losses rise, which also brings tougher regulatory scrutiny and higher compliance cost. This mix keeps revenue growth low and makes margin recovery slow and incomplete, even though the platform remains large and cash generative.</t>
  </si>
  <si>
    <t>I treat PayPal as a mature platform that hits a tougher competitive and macro patch. Branded checkout and unbranded processing face sharper price pressure, and credit expansion slows because funding stays tight and risk costs rise. A 3% rate reads as a plausible 5-year CAGR with Y = 10, and it sits well below the analysts’ medium-term path, which fits a bear case where execution slips versus consensus.</t>
  </si>
  <si>
    <t>Keep terminal growth close to the long-run economy because PayPal already operates at global scale. I set it below the 3.922% risk-free rate to respect the hard constraint and to reflect a payments market that matures and stays highly competitive. This also matches a bear case where PayPal fails to regain clear share gains.</t>
  </si>
  <si>
    <t>I keep PayPal in a mature stage but assume a longer period of repair rather than a fast reset. Ten years gives enough time for growth to fade from a low single-digit pace to stable growth as competitive pressure and regulation persist. With Y = 10, the 3% input acts as a 5-year growth anchor and stays realistic given the slower recent growth profile.</t>
  </si>
  <si>
    <t>I assume PayPal needs more equity tied up in risk buffers, compliance, and product investment while revenue growth slows. That mix lowers capital efficiency versus the recent ~1.0 adjusted level and pushes the ratio towards the lower end of the industry range. This fits a bear case where credit mix adds balance sheet drag but does not deliver strong top-line lift.</t>
  </si>
  <si>
    <t>I assume competition forces lower take rates and PayPal spends more to defend its network, while credit losses and funding costs stay less friendly than the base case. That mix caps long-run profitability nearer the industry median rather than above it. I keep the stable margin below the recent adjusted peak levels and below the base case because the bear story removes operating leverage.</t>
  </si>
  <si>
    <t>I expect a near-term margin drop because PayPal steps up spend on product, brand, and platform changes while revenue growth stays soft. I also assume worse credit losses than the recent low loss-rate run, which hits profit quickly in a downturn. This level still stays plausible because the adjusted accounts capitalise intangibles, so reported consensus margins can look lower even without severe underlying damage.</t>
  </si>
  <si>
    <t>I expect margin recovery to take longer because PayPal must keep investing to defend share and meet tighter compliance demands. Competitive pricing in unbranded volumes also limits how fast operating leverage can show up. Six years keeps convergence slower than the base case and matches a bear narrative of sticky pressure rather than a one-off dip.</t>
  </si>
  <si>
    <t>I assume PayPal earns only a modest value spread in maturity because pricing pressure and higher risk costs reduce profits, and extra equity supports credit and protection programmes. A stable 11% ROE sits around the industry middle and remains above the stable cost of equity only by a small margin, which fits a weakened moat outcome. This also aligns with the lower stable margin and lower sales-to-equity efficiency.</t>
  </si>
  <si>
    <t>Baa2/BBB</t>
  </si>
  <si>
    <t>I assume higher funding needs and weaker earnings resilience because credit losses rise and growth initiatives take longer to pay back. PayPal keeps scale and liquidity, but a more debt-sensitive and volatile profit mix justifies a move down from A-range to mid BBB. This rating still looks plausible for a large payments franchise that aims to protect investment-grade access.</t>
  </si>
  <si>
    <t>I assume less franchise value in stress because growth slows, competition erodes pricing power, and more value sits in intangibles. The business still holds cash and a saleable platform, but forced-sale outcomes tend to discount software and customer relationships. A lower recovery ratio fits a bear case where credit and regulatory issues reduce buyer appetite.</t>
  </si>
  <si>
    <t>Sensitivity</t>
  </si>
  <si>
    <t xml:space="preserve">Stable growth rate →
↓ Cost of equity</t>
  </si>
  <si>
    <t>Note: Green cells indicate scenarios where the calculated intrinsic value per share is above the current market price, suggesting potential undervaluation. Red cells indicate scenarios where the intrinsic value is below the market price, suggesting potential overvaluation.</t>
  </si>
  <si>
    <t>Reverse DCF</t>
  </si>
  <si>
    <t>Driver</t>
  </si>
  <si>
    <t>Base Value</t>
  </si>
  <si>
    <t>Market Implied</t>
  </si>
  <si>
    <t>Difference</t>
  </si>
  <si>
    <t>Monte-Carlo simulation percentile distribution</t>
  </si>
  <si>
    <t>Percentile</t>
  </si>
  <si>
    <t>Price</t>
  </si>
  <si>
    <t>P0</t>
  </si>
  <si>
    <t>P5</t>
  </si>
  <si>
    <t>P15</t>
  </si>
  <si>
    <t>P20</t>
  </si>
  <si>
    <t>P30</t>
  </si>
  <si>
    <t>P35</t>
  </si>
  <si>
    <t>P40</t>
  </si>
  <si>
    <t>P45</t>
  </si>
  <si>
    <t>P55</t>
  </si>
  <si>
    <t>P60</t>
  </si>
  <si>
    <t>P65</t>
  </si>
  <si>
    <t>P70</t>
  </si>
  <si>
    <t>P80</t>
  </si>
  <si>
    <t>P85</t>
  </si>
  <si>
    <t>P95</t>
  </si>
  <si>
    <t>P100</t>
  </si>
  <si>
    <t>The Monte Carlo distribution maps simulated prices to percentiles. Recommendations follow these: below the 10th is a Strong Buy, below the 25th a Buy, the 25th–75th a Hold, the 75th–90th a Sell, and anything higher a Strong Sell. Green shading indicates buy zones, gray indicates hold, and red indicates sell zones.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</si>
</sst>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quot;US$&quot;#,##0.00"/>
    <numFmt numFmtId="165" formatCode="0.0%"/>
    <numFmt numFmtId="166" formatCode="yyyy-mm-dd"/>
    <numFmt numFmtId="167" formatCode="#,##0.0"/>
    <numFmt numFmtId="168" formatCode="0.0"/>
    <numFmt numFmtId="169" formatCode="0.000"/>
    <numFmt numFmtId="170" formatCode="&quot;US$&quot;#,##0"/>
    <numFmt numFmtId="171" formatCode="#0.0"/>
  </numFmts>
  <fonts count="19" x14ac:knownFonts="1">
    <font>
      <color theme="1"/>
      <family val="2"/>
      <scheme val="minor"/>
      <sz val="11"/>
      <name val="Calibri"/>
    </font>
    <font>
      <b/>
      <color rgb="FF0284c7"/>
      <sz val="32"/>
    </font>
    <font>
      <b/>
      <color rgb="FF111827"/>
      <sz val="26"/>
    </font>
    <font>
      <color rgb="FF111827"/>
      <sz val="12"/>
    </font>
    <font>
      <u/>
      <color rgb="FF0284c7"/>
      <sz val="12"/>
    </font>
    <font>
      <color rgb="FF111827"/>
      <sz val="10"/>
    </font>
    <font>
      <b/>
      <color rgb="FFFFFFFF"/>
      <sz val="26"/>
    </font>
    <font>
      <sz val="12"/>
    </font>
    <font>
      <color rgb="FF1F4E79"/>
      <sz val="12"/>
    </font>
    <font>
      <b/>
      <u/>
    </font>
    <font>
      <b/>
      <u/>
      <sz val="12"/>
    </font>
    <font>
      <b/>
      <sz val="12"/>
    </font>
    <font>
      <b/>
      <color rgb="FF000000"/>
      <sz val="12"/>
    </font>
    <font>
      <color rgb="FF000000"/>
      <sz val="12"/>
    </font>
    <font>
      <b/>
    </font>
    <font>
      <b/>
      <color rgb="FF1F4E79"/>
      <sz val="12"/>
    </font>
    <font>
      <i/>
    </font>
    <font>
      <i/>
      <sz val="12"/>
    </font>
    <font>
      <sz val="10"/>
    </font>
  </fonts>
  <fills count="11">
    <fill>
      <patternFill patternType="none"/>
    </fill>
    <fill>
      <patternFill patternType="gray125"/>
    </fill>
    <fill>
      <patternFill patternType="solid">
        <fgColor rgb="FF0284c7"/>
      </patternFill>
    </fill>
    <fill>
      <patternFill patternType="solid">
        <fgColor rgb="FFFFFDE6"/>
      </patternFill>
    </fill>
    <fill>
      <patternFill patternType="solid">
        <fgColor rgb="FFFCE5CD"/>
      </patternFill>
    </fill>
    <fill>
      <patternFill patternType="solid">
        <fgColor rgb="FFE6F9E6"/>
      </patternFill>
    </fill>
    <fill>
      <patternFill patternType="solid">
        <fgColor rgb="FF198754"/>
      </patternFill>
    </fill>
    <fill>
      <patternFill patternType="solid">
        <fgColor rgb="FFD1E7DD"/>
      </patternFill>
    </fill>
    <fill>
      <patternFill patternType="solid">
        <fgColor rgb="FFE5E7EB"/>
      </patternFill>
    </fill>
    <fill>
      <patternFill patternType="solid">
        <fgColor rgb="FFF8D7DA"/>
      </patternFill>
    </fill>
    <fill>
      <patternFill patternType="solid">
        <fgColor rgb="FFDC3545"/>
      </patternFill>
    </fill>
  </fills>
  <borders count="5">
    <border>
      <left/>
      <right/>
      <top/>
      <bottom/>
      <diagonal/>
    </border>
    <border>
      <left/>
      <right/>
      <top/>
      <bottom style="thin">
        <color rgb="FF0284c7"/>
      </bottom>
      <diagonal/>
    </border>
    <border>
      <left style="thin">
        <color rgb="FF000000"/>
      </left>
      <right style="thin">
        <color rgb="FF000000"/>
      </right>
      <top style="thin">
        <color rgb="FF000000"/>
      </top>
      <bottom style="thin">
        <color rgb="FF000000"/>
      </bottom>
      <diagonal/>
    </border>
    <border>
      <left/>
      <right/>
      <top/>
      <bottom style="thin"/>
      <diagonal/>
    </border>
    <border>
      <left/>
      <right style="thin"/>
      <top/>
      <bottom/>
      <diagonal/>
    </border>
  </borders>
  <cellStyleXfs count="1">
    <xf numFmtId="0" fontId="0" fillId="0" borderId="0"/>
  </cellStyleXfs>
  <cellXfs count="75">
    <xf numFmtId="0" fontId="0" fillId="0" borderId="0" xfId="0"/>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left"/>
    </xf>
    <xf numFmtId="0" fontId="0" fillId="0" borderId="0" xfId="0" applyAlignment="1">
      <alignment horizontal="right"/>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6" fillId="2" borderId="1" xfId="0" applyFont="1" applyFill="1" applyBorder="1" applyAlignment="1">
      <alignment horizontal="right"/>
    </xf>
    <xf numFmtId="0" fontId="7" fillId="0" borderId="0" xfId="0" applyFont="1" applyAlignment="1">
      <alignment horizontal="left"/>
    </xf>
    <xf numFmtId="0" fontId="7" fillId="0" borderId="0" xfId="0" applyFont="1" applyAlignment="1">
      <alignment horizontal="right"/>
    </xf>
    <xf numFmtId="164" fontId="8" fillId="0" borderId="0" xfId="0" applyNumberFormat="1" applyFont="1" applyAlignment="1">
      <alignment horizontal="right"/>
    </xf>
    <xf numFmtId="165" fontId="8" fillId="0" borderId="0" xfId="0" applyNumberFormat="1" applyFont="1" applyAlignment="1">
      <alignment horizontal="right"/>
    </xf>
    <xf numFmtId="166" fontId="7" fillId="0" borderId="0" xfId="0" applyNumberFormat="1" applyFont="1" applyAlignment="1">
      <alignment horizontal="right"/>
    </xf>
    <xf numFmtId="167" fontId="8" fillId="0" borderId="0" xfId="0" applyNumberFormat="1" applyFont="1" applyAlignment="1">
      <alignment horizontal="right"/>
    </xf>
    <xf numFmtId="0" fontId="9" fillId="0" borderId="0" xfId="0" applyFont="1"/>
    <xf numFmtId="0" fontId="10" fillId="0" borderId="0" xfId="0" applyFont="1" applyAlignment="1">
      <alignment horizontal="left"/>
    </xf>
    <xf numFmtId="165" fontId="8" fillId="3" borderId="2" xfId="0" applyNumberFormat="1" applyFont="1" applyFill="1" applyBorder="1" applyAlignment="1">
      <alignment horizontal="right"/>
    </xf>
    <xf numFmtId="167" fontId="8" fillId="3" borderId="2" xfId="0" applyNumberFormat="1" applyFont="1" applyFill="1" applyBorder="1" applyAlignment="1">
      <alignment horizontal="right"/>
    </xf>
    <xf numFmtId="0" fontId="11" fillId="0" borderId="3" xfId="0" applyFont="1" applyBorder="1" applyAlignment="1">
      <alignment horizontal="left"/>
    </xf>
    <xf numFmtId="0" fontId="11" fillId="0" borderId="3" xfId="0" applyFont="1" applyBorder="1" applyAlignment="1">
      <alignment horizontal="right"/>
    </xf>
    <xf numFmtId="0" fontId="12" fillId="0" borderId="3" xfId="0" applyFont="1" applyBorder="1" applyAlignment="1">
      <alignment horizontal="right"/>
    </xf>
    <xf numFmtId="3" fontId="13" fillId="0" borderId="0" xfId="0" applyNumberFormat="1" applyFont="1" applyAlignment="1">
      <alignment horizontal="right"/>
    </xf>
    <xf numFmtId="165" fontId="13" fillId="0" borderId="0" xfId="0" applyNumberFormat="1" applyFont="1" applyAlignment="1">
      <alignment horizontal="right"/>
    </xf>
    <xf numFmtId="168" fontId="13" fillId="0" borderId="0" xfId="0" applyNumberFormat="1" applyFont="1" applyAlignment="1">
      <alignment horizontal="right"/>
    </xf>
    <xf numFmtId="169" fontId="13" fillId="0" borderId="0" xfId="0" applyNumberFormat="1" applyFont="1" applyAlignment="1">
      <alignment horizontal="right"/>
    </xf>
    <xf numFmtId="3" fontId="8" fillId="0" borderId="0" xfId="0" applyNumberFormat="1" applyFont="1" applyAlignment="1">
      <alignment horizontal="right"/>
    </xf>
    <xf numFmtId="167" fontId="13" fillId="0" borderId="0" xfId="0" applyNumberFormat="1" applyFont="1" applyAlignment="1">
      <alignment horizontal="right"/>
    </xf>
    <xf numFmtId="164" fontId="13" fillId="4" borderId="0" xfId="0" applyNumberFormat="1" applyFont="1" applyFill="1" applyAlignment="1">
      <alignment horizontal="right"/>
    </xf>
    <xf numFmtId="0" fontId="10" fillId="0" borderId="0" xfId="0" applyFont="1" applyAlignment="1">
      <alignment horizontal="right"/>
    </xf>
    <xf numFmtId="0" fontId="14" fillId="0" borderId="0" xfId="0" applyFont="1"/>
    <xf numFmtId="3" fontId="8" fillId="0" borderId="0" xfId="0" applyNumberFormat="1" applyFont="1" applyAlignment="1">
      <alignment horizontal="left"/>
    </xf>
    <xf numFmtId="1" fontId="8" fillId="0" borderId="0" xfId="0" applyNumberFormat="1" applyFont="1" applyAlignment="1">
      <alignment horizontal="left"/>
    </xf>
    <xf numFmtId="164" fontId="7" fillId="0" borderId="0" xfId="0" applyNumberFormat="1" applyFont="1" applyAlignment="1">
      <alignment horizontal="right"/>
    </xf>
    <xf numFmtId="0" fontId="11" fillId="0" borderId="0" xfId="0" applyFont="1" applyAlignment="1">
      <alignment horizontal="right"/>
    </xf>
    <xf numFmtId="1" fontId="15" fillId="0" borderId="3" xfId="0" applyNumberFormat="1" applyFont="1" applyBorder="1" applyAlignment="1">
      <alignment horizontal="right"/>
    </xf>
    <xf numFmtId="165" fontId="0" fillId="0" borderId="0" xfId="0" applyNumberFormat="1" applyAlignment="1">
      <alignment horizontal="right"/>
    </xf>
    <xf numFmtId="165" fontId="6" fillId="2" borderId="1" xfId="0" applyNumberFormat="1" applyFont="1" applyFill="1" applyBorder="1" applyAlignment="1">
      <alignment horizontal="right"/>
    </xf>
    <xf numFmtId="165" fontId="7" fillId="0" borderId="0" xfId="0" applyNumberFormat="1" applyFont="1" applyAlignment="1">
      <alignment horizontal="right"/>
    </xf>
    <xf numFmtId="165" fontId="11" fillId="0" borderId="3" xfId="0" applyNumberFormat="1" applyFont="1" applyBorder="1" applyAlignment="1">
      <alignment horizontal="right"/>
    </xf>
    <xf numFmtId="0" fontId="11" fillId="0" borderId="0" xfId="0" applyFont="1" applyAlignment="1">
      <alignment horizontal="left"/>
    </xf>
    <xf numFmtId="0" fontId="16" fillId="0" borderId="0" xfId="0" applyFont="1"/>
    <xf numFmtId="0" fontId="17" fillId="0" borderId="0" xfId="0" applyFont="1" applyAlignment="1">
      <alignment horizontal="right"/>
    </xf>
    <xf numFmtId="170" fontId="8" fillId="0" borderId="0" xfId="0" applyNumberFormat="1" applyFont="1" applyAlignment="1">
      <alignment horizontal="right"/>
    </xf>
    <xf numFmtId="171" fontId="13" fillId="0" borderId="0" xfId="0" applyNumberFormat="1" applyFont="1" applyAlignment="1">
      <alignment horizontal="right"/>
    </xf>
    <xf numFmtId="164" fontId="0" fillId="0" borderId="0" xfId="0" applyNumberFormat="1" applyAlignment="1">
      <alignment horizontal="right"/>
    </xf>
    <xf numFmtId="165" fontId="0" fillId="0" borderId="0" xfId="0" applyNumberFormat="1" applyAlignment="1">
      <alignment horizontal="left"/>
    </xf>
    <xf numFmtId="164" fontId="6" fillId="2" borderId="1" xfId="0" applyNumberFormat="1" applyFont="1" applyFill="1" applyBorder="1" applyAlignment="1">
      <alignment horizontal="right"/>
    </xf>
    <xf numFmtId="165" fontId="6" fillId="2" borderId="1" xfId="0" applyNumberFormat="1" applyFont="1" applyFill="1" applyBorder="1" applyAlignment="1">
      <alignment horizontal="left"/>
    </xf>
    <xf numFmtId="165" fontId="7" fillId="0" borderId="0" xfId="0" applyNumberFormat="1" applyFont="1" applyAlignment="1">
      <alignment horizontal="left"/>
    </xf>
    <xf numFmtId="164" fontId="11" fillId="0" borderId="3" xfId="0" applyNumberFormat="1" applyFont="1" applyBorder="1" applyAlignment="1">
      <alignment horizontal="right"/>
    </xf>
    <xf numFmtId="165" fontId="11" fillId="0" borderId="3" xfId="0" applyNumberFormat="1" applyFont="1" applyBorder="1" applyAlignment="1">
      <alignment horizontal="left"/>
    </xf>
    <xf numFmtId="165" fontId="8" fillId="0" borderId="0" xfId="0" applyNumberFormat="1" applyFont="1" applyAlignment="1">
      <alignment horizontal="left"/>
    </xf>
    <xf numFmtId="164" fontId="10" fillId="0" borderId="0" xfId="0" applyNumberFormat="1" applyFont="1" applyAlignment="1">
      <alignment horizontal="right"/>
    </xf>
    <xf numFmtId="165" fontId="10" fillId="0" borderId="0" xfId="0" applyNumberFormat="1" applyFont="1" applyAlignment="1">
      <alignment horizontal="left"/>
    </xf>
    <xf numFmtId="10" fontId="11" fillId="0" borderId="3" xfId="0" applyNumberFormat="1" applyFont="1" applyBorder="1" applyAlignment="1">
      <alignment horizontal="right"/>
    </xf>
    <xf numFmtId="165" fontId="11" fillId="0" borderId="4" xfId="0" applyNumberFormat="1" applyFont="1" applyBorder="1" applyAlignment="1">
      <alignment horizontal="left"/>
    </xf>
    <xf numFmtId="164" fontId="7" fillId="5" borderId="0" xfId="0" applyNumberFormat="1" applyFont="1" applyFill="1" applyAlignment="1">
      <alignment horizontal="right"/>
    </xf>
    <xf numFmtId="0" fontId="5" fillId="0" borderId="0" xfId="0" applyFont="1"/>
    <xf numFmtId="0" fontId="5" fillId="0" borderId="0" xfId="0" applyFont="1" applyAlignment="1">
      <alignment horizontal="left"/>
    </xf>
    <xf numFmtId="0" fontId="5" fillId="0" borderId="0" xfId="0" applyFont="1" applyAlignment="1">
      <alignment horizontal="right"/>
    </xf>
    <xf numFmtId="167" fontId="0" fillId="0" borderId="0" xfId="0" applyNumberFormat="1" applyAlignment="1">
      <alignment horizontal="right"/>
    </xf>
    <xf numFmtId="167" fontId="6" fillId="2" borderId="1" xfId="0" applyNumberFormat="1" applyFont="1" applyFill="1" applyBorder="1" applyAlignment="1">
      <alignment horizontal="right"/>
    </xf>
    <xf numFmtId="167" fontId="7" fillId="0" borderId="0" xfId="0" applyNumberFormat="1" applyFont="1" applyAlignment="1">
      <alignment horizontal="right"/>
    </xf>
    <xf numFmtId="167" fontId="11" fillId="0" borderId="3" xfId="0" applyNumberFormat="1" applyFont="1" applyBorder="1" applyAlignment="1">
      <alignment horizontal="right"/>
    </xf>
    <xf numFmtId="167" fontId="10" fillId="0" borderId="0" xfId="0" applyNumberFormat="1" applyFont="1" applyAlignment="1">
      <alignment horizontal="right"/>
    </xf>
    <xf numFmtId="167" fontId="11" fillId="0" borderId="0" xfId="0" applyNumberFormat="1" applyFont="1" applyAlignment="1">
      <alignment horizontal="right"/>
    </xf>
    <xf numFmtId="164" fontId="7" fillId="6" borderId="0" xfId="0" applyNumberFormat="1" applyFont="1" applyFill="1" applyAlignment="1">
      <alignment horizontal="right"/>
    </xf>
    <xf numFmtId="164" fontId="7" fillId="7" borderId="0" xfId="0" applyNumberFormat="1" applyFont="1" applyFill="1" applyAlignment="1">
      <alignment horizontal="right"/>
    </xf>
    <xf numFmtId="164" fontId="7" fillId="8" borderId="0" xfId="0" applyNumberFormat="1" applyFont="1" applyFill="1" applyAlignment="1">
      <alignment horizontal="right"/>
    </xf>
    <xf numFmtId="164" fontId="7" fillId="9" borderId="0" xfId="0" applyNumberFormat="1" applyFont="1" applyFill="1" applyAlignment="1">
      <alignment horizontal="right"/>
    </xf>
    <xf numFmtId="164" fontId="7" fillId="10" borderId="0" xfId="0" applyNumberFormat="1" applyFont="1" applyFill="1" applyAlignment="1">
      <alignment horizontal="right"/>
    </xf>
    <xf numFmtId="0" fontId="1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valuationbot.ai/analysis/65ab6645-b924-4acd-8b2d-75c692af4d6b/results" TargetMode="External"/><Relationship Id="rId2" Type="http://schemas.openxmlformats.org/officeDocument/2006/relationships/hyperlink" Target="https://valuationbot.a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owGridLines="0"/>
  </sheetViews>
  <sheetFormatPr defaultRowHeight="15" outlineLevelRow="0" outlineLevelCol="0" x14ac:dyDescent="55"/>
  <cols>
    <col min="1" max="2" width="50" customWidth="1"/>
  </cols>
  <sheetData>
    <row r="1" spans="1:2" x14ac:dyDescent="0.25">
      <c r="A1" s="1" t="s">
        <v>0</v>
      </c>
      <c r="B1" s="1"/>
    </row>
    <row r="2" spans="1:2" x14ac:dyDescent="0.25">
      <c r="A2" s="2" t="s">
        <v>1</v>
      </c>
      <c r="B2" s="2"/>
    </row>
    <row r="3" spans="1:2" x14ac:dyDescent="0.25">
      <c r="A3" s="3" t="s">
        <v>2</v>
      </c>
      <c r="B3" s="3"/>
    </row>
    <row r="4" spans="1:2" x14ac:dyDescent="0.25">
      <c r="A4" s="3" t="s">
        <v>3</v>
      </c>
      <c r="B4" s="3"/>
    </row>
    <row r="5" spans="1:2" x14ac:dyDescent="0.25">
      <c r="A5" s="3" t="s">
        <v>4</v>
      </c>
      <c r="B5" s="3"/>
    </row>
    <row r="6" spans="1:2" x14ac:dyDescent="0.25">
      <c r="A6" s="3" t="s">
        <v>5</v>
      </c>
      <c r="B6" s="3"/>
    </row>
    <row r="7" spans="1:2" x14ac:dyDescent="0.25">
      <c r="A7" s="4" t="s">
        <v>6</v>
      </c>
      <c r="B7" s="4"/>
    </row>
    <row r="8" spans="1:2" x14ac:dyDescent="0.25">
      <c r="A8" s="4" t="s">
        <v>0</v>
      </c>
      <c r="B8" s="4"/>
    </row>
    <row r="9" spans="1:2" x14ac:dyDescent="0.25">
      <c r="A9" s="5" t="s">
        <v>7</v>
      </c>
      <c r="B9" s="5"/>
    </row>
    <row r="10" spans="1:2" x14ac:dyDescent="0.25">
      <c r="A10" s="5" t="s">
        <v>8</v>
      </c>
      <c r="B10" s="5"/>
    </row>
  </sheetData>
  <mergeCells count="10">
    <mergeCell ref="A1:B1"/>
    <mergeCell ref="A2:B2"/>
    <mergeCell ref="A3:B3"/>
    <mergeCell ref="A4:B4"/>
    <mergeCell ref="A5:B5"/>
    <mergeCell ref="A6:B6"/>
    <mergeCell ref="A7:B7"/>
    <mergeCell ref="A8:B8"/>
    <mergeCell ref="A9:B9"/>
    <mergeCell ref="A10:B10"/>
  </mergeCells>
  <hyperlinks>
    <hyperlink ref="A7" r:id="rId1"/>
    <hyperlink ref="A8" r:id="rId2"/>
  </hyperlinks>
  <pageMargins left="0.7" right="0.7" top="0.75" bottom="0.75" header="0.3" footer="0.3"/>
  <pageSetup orientation="portrait" horizontalDpi="4294967295" verticalDpi="4294967295" scale="100" fitToWidth="1" fitToHeigh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howGridLines="0"/>
  </sheetViews>
  <sheetFormatPr defaultRowHeight="15" outlineLevelRow="0" outlineLevelCol="0" x14ac:dyDescent="55"/>
  <cols>
    <col min="1" max="1" width="20" style="6" customWidth="1"/>
    <col min="2" max="2" width="15" style="47" customWidth="1"/>
    <col min="3" max="3" width="15" style="48" customWidth="1"/>
  </cols>
  <sheetData>
    <row r="1" spans="1:3" s="8" customFormat="1" x14ac:dyDescent="0.25">
      <c r="A1" s="9" t="s">
        <v>178</v>
      </c>
      <c r="B1" s="49"/>
      <c r="C1" s="50"/>
    </row>
    <row r="2" spans="1:3" x14ac:dyDescent="0.25">
      <c r="A2" s="11" t="s">
        <v>10</v>
      </c>
      <c r="B2" s="35"/>
      <c r="C2" s="51"/>
    </row>
    <row r="4" spans="1:3" s="32" customFormat="1" x14ac:dyDescent="0.25">
      <c r="A4" s="21" t="s">
        <v>179</v>
      </c>
      <c r="B4" s="52" t="s">
        <v>180</v>
      </c>
      <c r="C4" s="53" t="s">
        <v>181</v>
      </c>
    </row>
    <row r="5" spans="1:3" x14ac:dyDescent="0.25">
      <c r="A5" s="11" t="s">
        <v>182</v>
      </c>
      <c r="B5" s="13">
        <v>88.7858018224385</v>
      </c>
      <c r="C5" s="54">
        <v>1.163924002496673</v>
      </c>
    </row>
    <row r="6" spans="1:3" x14ac:dyDescent="0.25">
      <c r="A6" s="11" t="s">
        <v>183</v>
      </c>
      <c r="B6" s="13">
        <v>55.07120000604291</v>
      </c>
      <c r="C6" s="54">
        <v>0.3422178894965368</v>
      </c>
    </row>
    <row r="7" spans="1:3" x14ac:dyDescent="0.25">
      <c r="A7" s="11" t="s">
        <v>184</v>
      </c>
      <c r="B7" s="13">
        <v>124.6441831615416</v>
      </c>
      <c r="C7" s="54">
        <v>2.03787918989865</v>
      </c>
    </row>
    <row r="9" spans="1:3" x14ac:dyDescent="0.25">
      <c r="A9" s="18" t="s">
        <v>185</v>
      </c>
      <c r="B9" s="35"/>
      <c r="C9" s="51"/>
    </row>
    <row r="10" spans="1:3" x14ac:dyDescent="0.25">
      <c r="A10" s="11" t="s">
        <v>186</v>
      </c>
      <c r="B10" s="13">
        <v>124.6441831615416</v>
      </c>
      <c r="C10" s="51"/>
    </row>
    <row r="11" spans="1:3" x14ac:dyDescent="0.25">
      <c r="A11" s="11" t="s">
        <v>181</v>
      </c>
      <c r="B11" s="14">
        <v>2.03787918989865</v>
      </c>
      <c r="C11" s="51"/>
    </row>
    <row r="12" spans="1:3" x14ac:dyDescent="0.25">
      <c r="A12" s="11" t="s">
        <v>187</v>
      </c>
      <c r="B12" s="35"/>
      <c r="C12" s="51"/>
    </row>
    <row r="13" spans="1:3" s="17" customFormat="1" x14ac:dyDescent="0.25">
      <c r="A13" s="18" t="s">
        <v>188</v>
      </c>
      <c r="B13" s="55" t="s">
        <v>96</v>
      </c>
      <c r="C13" s="56" t="s">
        <v>99</v>
      </c>
    </row>
    <row r="14" spans="1:3" x14ac:dyDescent="0.25">
      <c r="A14" s="11" t="s">
        <v>40</v>
      </c>
      <c r="B14" s="14">
        <v>0.075</v>
      </c>
      <c r="C14" s="51" t="s">
        <v>189</v>
      </c>
    </row>
    <row r="15" spans="1:3" x14ac:dyDescent="0.25">
      <c r="A15" s="11" t="s">
        <v>42</v>
      </c>
      <c r="B15" s="14">
        <v>0.0375</v>
      </c>
      <c r="C15" s="51" t="s">
        <v>190</v>
      </c>
    </row>
    <row r="16" spans="1:3" x14ac:dyDescent="0.25">
      <c r="A16" s="11" t="s">
        <v>44</v>
      </c>
      <c r="B16" s="16">
        <v>10</v>
      </c>
      <c r="C16" s="51" t="s">
        <v>191</v>
      </c>
    </row>
    <row r="17" spans="1:3" x14ac:dyDescent="0.25">
      <c r="A17" s="11" t="s">
        <v>46</v>
      </c>
      <c r="B17" s="16">
        <v>1.15</v>
      </c>
      <c r="C17" s="51" t="s">
        <v>192</v>
      </c>
    </row>
    <row r="18" spans="1:3" x14ac:dyDescent="0.25">
      <c r="A18" s="11" t="s">
        <v>48</v>
      </c>
      <c r="B18" s="14">
        <v>0.21</v>
      </c>
      <c r="C18" s="51" t="s">
        <v>193</v>
      </c>
    </row>
    <row r="19" spans="1:3" x14ac:dyDescent="0.25">
      <c r="A19" s="11" t="s">
        <v>50</v>
      </c>
      <c r="B19" s="14">
        <v>0.172</v>
      </c>
      <c r="C19" s="51" t="s">
        <v>194</v>
      </c>
    </row>
    <row r="20" spans="1:3" x14ac:dyDescent="0.25">
      <c r="A20" s="11" t="s">
        <v>52</v>
      </c>
      <c r="B20" s="16">
        <v>4</v>
      </c>
      <c r="C20" s="51" t="s">
        <v>195</v>
      </c>
    </row>
    <row r="21" spans="1:3" x14ac:dyDescent="0.25">
      <c r="A21" s="11" t="s">
        <v>54</v>
      </c>
      <c r="B21" s="14">
        <v>0.18</v>
      </c>
      <c r="C21" s="51" t="s">
        <v>196</v>
      </c>
    </row>
    <row r="22" spans="1:3" x14ac:dyDescent="0.25">
      <c r="A22" s="11" t="s">
        <v>56</v>
      </c>
      <c r="B22" s="35" t="s">
        <v>197</v>
      </c>
      <c r="C22" s="51" t="s">
        <v>198</v>
      </c>
    </row>
    <row r="23" spans="1:3" x14ac:dyDescent="0.25">
      <c r="A23" s="11" t="s">
        <v>59</v>
      </c>
      <c r="B23" s="14">
        <v>0.58</v>
      </c>
      <c r="C23" s="51" t="s">
        <v>199</v>
      </c>
    </row>
    <row r="25" spans="1:3" x14ac:dyDescent="0.25">
      <c r="A25" s="18" t="s">
        <v>200</v>
      </c>
      <c r="B25" s="35"/>
      <c r="C25" s="51"/>
    </row>
    <row r="26" spans="1:3" x14ac:dyDescent="0.25">
      <c r="A26" s="11" t="s">
        <v>186</v>
      </c>
      <c r="B26" s="13">
        <v>55.07120000604291</v>
      </c>
      <c r="C26" s="51"/>
    </row>
    <row r="27" spans="1:3" x14ac:dyDescent="0.25">
      <c r="A27" s="11" t="s">
        <v>181</v>
      </c>
      <c r="B27" s="14">
        <v>0.3422178894965368</v>
      </c>
      <c r="C27" s="51"/>
    </row>
    <row r="28" spans="1:3" x14ac:dyDescent="0.25">
      <c r="A28" s="11" t="s">
        <v>201</v>
      </c>
      <c r="B28" s="35"/>
      <c r="C28" s="51"/>
    </row>
    <row r="29" spans="1:3" s="17" customFormat="1" x14ac:dyDescent="0.25">
      <c r="A29" s="18" t="s">
        <v>188</v>
      </c>
      <c r="B29" s="55" t="s">
        <v>96</v>
      </c>
      <c r="C29" s="56" t="s">
        <v>99</v>
      </c>
    </row>
    <row r="30" spans="1:3" x14ac:dyDescent="0.25">
      <c r="A30" s="11" t="s">
        <v>40</v>
      </c>
      <c r="B30" s="14">
        <v>0.03</v>
      </c>
      <c r="C30" s="51" t="s">
        <v>202</v>
      </c>
    </row>
    <row r="31" spans="1:3" x14ac:dyDescent="0.25">
      <c r="A31" s="11" t="s">
        <v>42</v>
      </c>
      <c r="B31" s="14">
        <v>0.03</v>
      </c>
      <c r="C31" s="51" t="s">
        <v>203</v>
      </c>
    </row>
    <row r="32" spans="1:3" x14ac:dyDescent="0.25">
      <c r="A32" s="11" t="s">
        <v>44</v>
      </c>
      <c r="B32" s="16">
        <v>10</v>
      </c>
      <c r="C32" s="51" t="s">
        <v>204</v>
      </c>
    </row>
    <row r="33" spans="1:3" x14ac:dyDescent="0.25">
      <c r="A33" s="11" t="s">
        <v>46</v>
      </c>
      <c r="B33" s="16">
        <v>0.85</v>
      </c>
      <c r="C33" s="51" t="s">
        <v>205</v>
      </c>
    </row>
    <row r="34" spans="1:3" x14ac:dyDescent="0.25">
      <c r="A34" s="11" t="s">
        <v>48</v>
      </c>
      <c r="B34" s="14">
        <v>0.14</v>
      </c>
      <c r="C34" s="51" t="s">
        <v>206</v>
      </c>
    </row>
    <row r="35" spans="1:3" x14ac:dyDescent="0.25">
      <c r="A35" s="11" t="s">
        <v>50</v>
      </c>
      <c r="B35" s="14">
        <v>0.12</v>
      </c>
      <c r="C35" s="51" t="s">
        <v>207</v>
      </c>
    </row>
    <row r="36" spans="1:3" x14ac:dyDescent="0.25">
      <c r="A36" s="11" t="s">
        <v>52</v>
      </c>
      <c r="B36" s="16">
        <v>6</v>
      </c>
      <c r="C36" s="51" t="s">
        <v>208</v>
      </c>
    </row>
    <row r="37" spans="1:3" x14ac:dyDescent="0.25">
      <c r="A37" s="11" t="s">
        <v>54</v>
      </c>
      <c r="B37" s="14">
        <v>0.11</v>
      </c>
      <c r="C37" s="51" t="s">
        <v>209</v>
      </c>
    </row>
    <row r="38" spans="1:3" x14ac:dyDescent="0.25">
      <c r="A38" s="11" t="s">
        <v>56</v>
      </c>
      <c r="B38" s="35" t="s">
        <v>210</v>
      </c>
      <c r="C38" s="51" t="s">
        <v>211</v>
      </c>
    </row>
    <row r="39" spans="1:3" x14ac:dyDescent="0.25">
      <c r="A39" s="11" t="s">
        <v>59</v>
      </c>
      <c r="B39" s="14">
        <v>0.45</v>
      </c>
      <c r="C39" s="51" t="s">
        <v>212</v>
      </c>
    </row>
  </sheetData>
  <pageMargins left="0.7" right="0.7" top="0.75" bottom="0.75" header="0.3" footer="0.3"/>
  <pageSetup orientation="portrait" horizontalDpi="4294967295" verticalDpi="4294967295" scale="100" fitToWidth="1" fitToHeigh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howGridLines="0"/>
  </sheetViews>
  <sheetFormatPr defaultRowHeight="15" outlineLevelRow="0" outlineLevelCol="0" x14ac:dyDescent="55"/>
  <cols>
    <col min="1" max="1" width="25" style="6" customWidth="1"/>
    <col min="2" max="8" width="15" style="7" customWidth="1"/>
  </cols>
  <sheetData>
    <row r="1" spans="1:8" s="8" customFormat="1" x14ac:dyDescent="0.25">
      <c r="A1" s="9" t="s">
        <v>213</v>
      </c>
      <c r="B1" s="10"/>
      <c r="C1" s="10"/>
      <c r="D1" s="10"/>
      <c r="E1" s="10"/>
      <c r="F1" s="10"/>
      <c r="G1" s="10"/>
      <c r="H1" s="10"/>
    </row>
    <row r="2" spans="1:8" x14ac:dyDescent="0.25">
      <c r="A2" s="11" t="s">
        <v>10</v>
      </c>
      <c r="B2" s="12"/>
      <c r="C2" s="12"/>
      <c r="D2" s="12"/>
      <c r="E2" s="12"/>
      <c r="F2" s="12"/>
      <c r="G2" s="12"/>
      <c r="H2" s="12"/>
    </row>
    <row r="4" spans="1:8" x14ac:dyDescent="0.25">
      <c r="A4" s="21" t="s">
        <v>214</v>
      </c>
      <c r="B4" s="57">
        <v>0.005</v>
      </c>
      <c r="C4" s="57">
        <v>0.01</v>
      </c>
      <c r="D4" s="57">
        <v>0.015</v>
      </c>
      <c r="E4" s="57">
        <v>0.02</v>
      </c>
      <c r="F4" s="57">
        <v>0.025</v>
      </c>
      <c r="G4" s="57">
        <v>0.03</v>
      </c>
      <c r="H4" s="57">
        <v>0.035</v>
      </c>
    </row>
    <row r="5" spans="1:8" x14ac:dyDescent="0.25">
      <c r="A5" s="58">
        <v>0.0456</v>
      </c>
      <c r="B5" s="59">
        <v>187.9097950476387</v>
      </c>
      <c r="C5" s="59">
        <v>204.7209087243639</v>
      </c>
      <c r="D5" s="59">
        <v>226.9214163800474</v>
      </c>
      <c r="E5" s="59">
        <v>257.6650177113763</v>
      </c>
      <c r="F5" s="59">
        <v>303.1671531901731</v>
      </c>
      <c r="G5" s="59">
        <v>377.6116382433424</v>
      </c>
      <c r="H5" s="59">
        <v>521.943997925106</v>
      </c>
    </row>
    <row r="6" spans="1:8" x14ac:dyDescent="0.25">
      <c r="A6" s="58">
        <v>0.0556</v>
      </c>
      <c r="B6" s="59">
        <v>147.815105554265</v>
      </c>
      <c r="C6" s="59">
        <v>156.9516577966621</v>
      </c>
      <c r="D6" s="59">
        <v>168.2670861107674</v>
      </c>
      <c r="E6" s="59">
        <v>182.676741884246</v>
      </c>
      <c r="F6" s="59">
        <v>201.6941819196188</v>
      </c>
      <c r="G6" s="59">
        <v>228.0153524793195</v>
      </c>
      <c r="H6" s="59">
        <v>266.9535267864654</v>
      </c>
    </row>
    <row r="7" spans="1:8" x14ac:dyDescent="0.25">
      <c r="A7" s="58">
        <v>0.0656</v>
      </c>
      <c r="B7" s="59">
        <v>121.1177977295904</v>
      </c>
      <c r="C7" s="59">
        <v>126.5207354429263</v>
      </c>
      <c r="D7" s="59">
        <v>132.9392828030907</v>
      </c>
      <c r="E7" s="59">
        <v>140.7055919913891</v>
      </c>
      <c r="F7" s="59">
        <v>150.3153933823845</v>
      </c>
      <c r="G7" s="59">
        <v>162.5428672611953</v>
      </c>
      <c r="H7" s="59">
        <v>178.6681348665992</v>
      </c>
    </row>
    <row r="8" spans="1:8" x14ac:dyDescent="0.25">
      <c r="A8" s="58">
        <v>0.0756</v>
      </c>
      <c r="B8" s="59">
        <v>102.1139433026849</v>
      </c>
      <c r="C8" s="59">
        <v>105.4889927725503</v>
      </c>
      <c r="D8" s="59">
        <v>109.3813485565794</v>
      </c>
      <c r="E8" s="59">
        <v>113.9291289342158</v>
      </c>
      <c r="F8" s="59">
        <v>119.325012518065</v>
      </c>
      <c r="G8" s="59">
        <v>125.8461502834879</v>
      </c>
      <c r="H8" s="59">
        <v>133.9061800797628</v>
      </c>
    </row>
    <row r="9" spans="1:8" x14ac:dyDescent="0.25">
      <c r="A9" s="58">
        <v>0.0856</v>
      </c>
      <c r="B9" s="59">
        <v>87.93120296412717</v>
      </c>
      <c r="C9" s="59">
        <v>90.1186486848791</v>
      </c>
      <c r="D9" s="59">
        <v>92.58495301581807</v>
      </c>
      <c r="E9" s="59">
        <v>95.39276376840853</v>
      </c>
      <c r="F9" s="59">
        <v>98.62538031662764</v>
      </c>
      <c r="G9" s="59">
        <v>102.3960390468683</v>
      </c>
      <c r="H9" s="59">
        <v>106.8627040128394</v>
      </c>
    </row>
    <row r="10" spans="1:8" x14ac:dyDescent="0.25">
      <c r="A10" s="58">
        <v>0.0956</v>
      </c>
      <c r="B10" s="59">
        <v>76.96606396440163</v>
      </c>
      <c r="C10" s="59">
        <v>78.41915465987583</v>
      </c>
      <c r="D10" s="59">
        <v>80.02780208055812</v>
      </c>
      <c r="E10" s="59">
        <v>81.8219867951003</v>
      </c>
      <c r="F10" s="59">
        <v>83.84016341653462</v>
      </c>
      <c r="G10" s="59">
        <v>86.1324897886651</v>
      </c>
      <c r="H10" s="59">
        <v>88.76565477771176</v>
      </c>
    </row>
    <row r="11" spans="1:8" x14ac:dyDescent="0.25">
      <c r="A11" s="58">
        <v>0.1056</v>
      </c>
      <c r="B11" s="59">
        <v>68.25315012068252</v>
      </c>
      <c r="C11" s="59">
        <v>69.23331798851545</v>
      </c>
      <c r="D11" s="59">
        <v>70.30161063633764</v>
      </c>
      <c r="E11" s="59">
        <v>71.47275716951542</v>
      </c>
      <c r="F11" s="59">
        <v>72.76512631965198</v>
      </c>
      <c r="G11" s="59">
        <v>74.20192982542588</v>
      </c>
      <c r="H11" s="59">
        <v>75.81293716359177</v>
      </c>
    </row>
    <row r="12" spans="1:8" x14ac:dyDescent="0.25">
      <c r="A12" s="58">
        <v>0.1156</v>
      </c>
      <c r="B12" s="59">
        <v>61.17668420081787</v>
      </c>
      <c r="C12" s="59">
        <v>61.84267814768913</v>
      </c>
      <c r="D12" s="59">
        <v>62.5583857210117</v>
      </c>
      <c r="E12" s="59">
        <v>63.33102305427224</v>
      </c>
      <c r="F12" s="59">
        <v>64.16938684596579</v>
      </c>
      <c r="G12" s="59">
        <v>65.08431581222725</v>
      </c>
      <c r="H12" s="59">
        <v>66.08932389484886</v>
      </c>
    </row>
    <row r="13" spans="1:8" x14ac:dyDescent="0.25">
      <c r="A13" s="58">
        <v>0.1256</v>
      </c>
      <c r="B13" s="59">
        <v>55.32550614774549</v>
      </c>
      <c r="C13" s="59">
        <v>55.77770915635074</v>
      </c>
      <c r="D13" s="59">
        <v>56.25710173789821</v>
      </c>
      <c r="E13" s="59">
        <v>56.76706205041456</v>
      </c>
      <c r="F13" s="59">
        <v>57.31162963047273</v>
      </c>
      <c r="G13" s="59">
        <v>57.89567821587737</v>
      </c>
      <c r="H13" s="59">
        <v>58.52514579344693</v>
      </c>
    </row>
    <row r="14" spans="1:8" x14ac:dyDescent="0.25">
      <c r="A14" s="58">
        <v>0.1356</v>
      </c>
      <c r="B14" s="59">
        <v>50.41470246367792</v>
      </c>
      <c r="C14" s="59">
        <v>50.7186928864939</v>
      </c>
      <c r="D14" s="59">
        <v>51.03641048910865</v>
      </c>
      <c r="E14" s="59">
        <v>51.36923150193455</v>
      </c>
      <c r="F14" s="59">
        <v>51.71877250223559</v>
      </c>
      <c r="G14" s="59">
        <v>52.08694720497843</v>
      </c>
      <c r="H14" s="59">
        <v>52.47604018853411</v>
      </c>
    </row>
    <row r="15" spans="1:8" x14ac:dyDescent="0.25">
      <c r="A15" s="58">
        <v>0.1456</v>
      </c>
      <c r="B15" s="59">
        <v>46.24068288891593</v>
      </c>
      <c r="C15" s="59">
        <v>46.4404564477401</v>
      </c>
      <c r="D15" s="59">
        <v>46.64583265084877</v>
      </c>
      <c r="E15" s="59">
        <v>46.85713892885274</v>
      </c>
      <c r="F15" s="59">
        <v>47.07474984922317</v>
      </c>
      <c r="G15" s="59">
        <v>47.29909721858223</v>
      </c>
      <c r="H15" s="59">
        <v>47.53068292455793</v>
      </c>
    </row>
    <row r="17" spans="1:8" s="60" customFormat="1" x14ac:dyDescent="0.25">
      <c r="A17" s="61" t="s">
        <v>215</v>
      </c>
      <c r="B17" s="62"/>
      <c r="C17" s="62"/>
      <c r="D17" s="62"/>
      <c r="E17" s="62"/>
      <c r="F17" s="62"/>
      <c r="G17" s="62"/>
      <c r="H17" s="62"/>
    </row>
  </sheetData>
  <pageMargins left="0.7" right="0.7" top="0.75" bottom="0.75" header="0.3" footer="0.3"/>
  <pageSetup orientation="portrait" horizontalDpi="4294967295" verticalDpi="4294967295" scale="100" fitToWidth="1" fitToHeigh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owGridLines="0"/>
  </sheetViews>
  <sheetFormatPr defaultRowHeight="15" outlineLevelRow="0" outlineLevelCol="0" x14ac:dyDescent="55"/>
  <cols>
    <col min="1" max="1" width="25" style="6" customWidth="1"/>
    <col min="2" max="4" width="15" style="63" customWidth="1"/>
  </cols>
  <sheetData>
    <row r="1" spans="1:4" s="8" customFormat="1" x14ac:dyDescent="0.25">
      <c r="A1" s="9" t="s">
        <v>216</v>
      </c>
      <c r="B1" s="64"/>
      <c r="C1" s="64"/>
      <c r="D1" s="64"/>
    </row>
    <row r="2" spans="1:4" x14ac:dyDescent="0.25">
      <c r="A2" s="11" t="s">
        <v>10</v>
      </c>
      <c r="B2" s="65"/>
      <c r="C2" s="65"/>
      <c r="D2" s="65"/>
    </row>
    <row r="4" spans="1:4" x14ac:dyDescent="0.25">
      <c r="A4" s="11" t="s">
        <v>20</v>
      </c>
      <c r="B4" s="14">
        <v>0.1622775459289551</v>
      </c>
      <c r="C4" s="65" t="s">
        <v>62</v>
      </c>
      <c r="D4" s="65" t="s">
        <v>62</v>
      </c>
    </row>
    <row r="6" spans="1:4" s="32" customFormat="1" x14ac:dyDescent="0.25">
      <c r="A6" s="21" t="s">
        <v>217</v>
      </c>
      <c r="B6" s="66" t="s">
        <v>218</v>
      </c>
      <c r="C6" s="66" t="s">
        <v>219</v>
      </c>
      <c r="D6" s="66" t="s">
        <v>220</v>
      </c>
    </row>
    <row r="7" spans="1:4" x14ac:dyDescent="0.25">
      <c r="A7" s="11" t="s">
        <v>48</v>
      </c>
      <c r="B7" s="14">
        <v>0.18</v>
      </c>
      <c r="C7" s="14">
        <v>0.09627317154320614</v>
      </c>
      <c r="D7" s="14">
        <v>-0.08372682845679386</v>
      </c>
    </row>
    <row r="8" spans="1:4" x14ac:dyDescent="0.25">
      <c r="A8" s="11" t="s">
        <v>40</v>
      </c>
      <c r="B8" s="14">
        <v>0.05</v>
      </c>
      <c r="C8" s="14">
        <v>0.02674254765089064</v>
      </c>
      <c r="D8" s="14">
        <v>-0.023257452349109364</v>
      </c>
    </row>
    <row r="9" spans="1:4" x14ac:dyDescent="0.25">
      <c r="A9" s="11" t="s">
        <v>54</v>
      </c>
      <c r="B9" s="14">
        <v>0.15</v>
      </c>
      <c r="C9" s="14">
        <v>0.08022764295267182</v>
      </c>
      <c r="D9" s="14">
        <v>-0.06977235704732818</v>
      </c>
    </row>
    <row r="11" spans="1:4" s="17" customFormat="1" x14ac:dyDescent="0.25">
      <c r="A11" s="18" t="s">
        <v>221</v>
      </c>
      <c r="B11" s="67"/>
      <c r="C11" s="67"/>
      <c r="D11" s="67"/>
    </row>
    <row r="12" spans="1:4" s="32" customFormat="1" x14ac:dyDescent="0.25">
      <c r="A12" s="21" t="s">
        <v>222</v>
      </c>
      <c r="B12" s="66" t="s">
        <v>223</v>
      </c>
      <c r="C12" s="68"/>
      <c r="D12" s="68"/>
    </row>
    <row r="13" spans="1:4" x14ac:dyDescent="0.25">
      <c r="A13" s="11" t="s">
        <v>224</v>
      </c>
      <c r="B13" s="69">
        <v>33.963433767872</v>
      </c>
      <c r="C13" s="65"/>
      <c r="D13" s="65"/>
    </row>
    <row r="14" spans="1:4" x14ac:dyDescent="0.25">
      <c r="A14" s="11" t="s">
        <v>225</v>
      </c>
      <c r="B14" s="69">
        <v>61.31596816488983</v>
      </c>
      <c r="C14" s="65"/>
      <c r="D14" s="65"/>
    </row>
    <row r="15" spans="1:4" x14ac:dyDescent="0.25">
      <c r="A15" s="11" t="s">
        <v>143</v>
      </c>
      <c r="B15" s="70">
        <v>66.43489073911115</v>
      </c>
      <c r="C15" s="65"/>
      <c r="D15" s="65"/>
    </row>
    <row r="16" spans="1:4" x14ac:dyDescent="0.25">
      <c r="A16" s="11" t="s">
        <v>226</v>
      </c>
      <c r="B16" s="70">
        <v>70.27573605371721</v>
      </c>
      <c r="C16" s="65"/>
      <c r="D16" s="65"/>
    </row>
    <row r="17" spans="1:4" x14ac:dyDescent="0.25">
      <c r="A17" s="11" t="s">
        <v>227</v>
      </c>
      <c r="B17" s="70">
        <v>73.31680298340945</v>
      </c>
      <c r="C17" s="65"/>
      <c r="D17" s="65"/>
    </row>
    <row r="18" spans="1:4" x14ac:dyDescent="0.25">
      <c r="A18" s="11" t="s">
        <v>144</v>
      </c>
      <c r="B18" s="71">
        <v>76.21328370501541</v>
      </c>
      <c r="C18" s="65"/>
      <c r="D18" s="65"/>
    </row>
    <row r="19" spans="1:4" x14ac:dyDescent="0.25">
      <c r="A19" s="11" t="s">
        <v>228</v>
      </c>
      <c r="B19" s="71">
        <v>78.68812862078909</v>
      </c>
      <c r="C19" s="65"/>
      <c r="D19" s="65"/>
    </row>
    <row r="20" spans="1:4" x14ac:dyDescent="0.25">
      <c r="A20" s="11" t="s">
        <v>229</v>
      </c>
      <c r="B20" s="71">
        <v>80.93091562426542</v>
      </c>
      <c r="C20" s="65"/>
      <c r="D20" s="65"/>
    </row>
    <row r="21" spans="1:4" x14ac:dyDescent="0.25">
      <c r="A21" s="11" t="s">
        <v>230</v>
      </c>
      <c r="B21" s="71">
        <v>83.35136104174347</v>
      </c>
      <c r="C21" s="65"/>
      <c r="D21" s="65"/>
    </row>
    <row r="22" spans="1:4" x14ac:dyDescent="0.25">
      <c r="A22" s="11" t="s">
        <v>231</v>
      </c>
      <c r="B22" s="71">
        <v>85.45611714380334</v>
      </c>
      <c r="C22" s="65"/>
      <c r="D22" s="65"/>
    </row>
    <row r="23" spans="1:4" x14ac:dyDescent="0.25">
      <c r="A23" s="11" t="s">
        <v>145</v>
      </c>
      <c r="B23" s="71">
        <v>87.70005468553414</v>
      </c>
      <c r="C23" s="65"/>
      <c r="D23" s="65"/>
    </row>
    <row r="24" spans="1:4" x14ac:dyDescent="0.25">
      <c r="A24" s="11" t="s">
        <v>232</v>
      </c>
      <c r="B24" s="71">
        <v>90.0191447976771</v>
      </c>
      <c r="C24" s="65"/>
      <c r="D24" s="65"/>
    </row>
    <row r="25" spans="1:4" x14ac:dyDescent="0.25">
      <c r="A25" s="11" t="s">
        <v>233</v>
      </c>
      <c r="B25" s="71">
        <v>92.14034958329663</v>
      </c>
      <c r="C25" s="65"/>
      <c r="D25" s="65"/>
    </row>
    <row r="26" spans="1:4" x14ac:dyDescent="0.25">
      <c r="A26" s="11" t="s">
        <v>234</v>
      </c>
      <c r="B26" s="71">
        <v>94.42692337802544</v>
      </c>
      <c r="C26" s="65"/>
      <c r="D26" s="65"/>
    </row>
    <row r="27" spans="1:4" x14ac:dyDescent="0.25">
      <c r="A27" s="11" t="s">
        <v>235</v>
      </c>
      <c r="B27" s="71">
        <v>96.73104848335484</v>
      </c>
      <c r="C27" s="65"/>
      <c r="D27" s="65"/>
    </row>
    <row r="28" spans="1:4" x14ac:dyDescent="0.25">
      <c r="A28" s="11" t="s">
        <v>146</v>
      </c>
      <c r="B28" s="72">
        <v>99.21190325113463</v>
      </c>
      <c r="C28" s="65"/>
      <c r="D28" s="65"/>
    </row>
    <row r="29" spans="1:4" x14ac:dyDescent="0.25">
      <c r="A29" s="11" t="s">
        <v>236</v>
      </c>
      <c r="B29" s="72">
        <v>102.1664094331338</v>
      </c>
      <c r="C29" s="65"/>
      <c r="D29" s="65"/>
    </row>
    <row r="30" spans="1:4" x14ac:dyDescent="0.25">
      <c r="A30" s="11" t="s">
        <v>237</v>
      </c>
      <c r="B30" s="72">
        <v>105.7767129056353</v>
      </c>
      <c r="C30" s="65"/>
      <c r="D30" s="65"/>
    </row>
    <row r="31" spans="1:4" x14ac:dyDescent="0.25">
      <c r="A31" s="11" t="s">
        <v>147</v>
      </c>
      <c r="B31" s="73">
        <v>110.2172434389036</v>
      </c>
      <c r="C31" s="65"/>
      <c r="D31" s="65"/>
    </row>
    <row r="32" spans="1:4" x14ac:dyDescent="0.25">
      <c r="A32" s="11" t="s">
        <v>238</v>
      </c>
      <c r="B32" s="73">
        <v>116.8101612567969</v>
      </c>
      <c r="C32" s="65"/>
      <c r="D32" s="65"/>
    </row>
    <row r="33" spans="1:4" x14ac:dyDescent="0.25">
      <c r="A33" s="11" t="s">
        <v>239</v>
      </c>
      <c r="B33" s="73">
        <v>162.7056672411572</v>
      </c>
      <c r="C33" s="65"/>
      <c r="D33" s="65"/>
    </row>
    <row r="34" spans="1:4" x14ac:dyDescent="0.25">
      <c r="A34" s="74" t="s">
        <v>240</v>
      </c>
      <c r="B34" s="65"/>
      <c r="C34" s="65"/>
      <c r="D34" s="65"/>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workbookViewId="0" showGridLines="0"/>
  </sheetViews>
  <sheetFormatPr defaultRowHeight="15" outlineLevelRow="0" outlineLevelCol="0" x14ac:dyDescent="55"/>
  <cols>
    <col min="1" max="1" width="30" style="6" customWidth="1"/>
    <col min="2" max="2" width="50" style="7" customWidth="1"/>
  </cols>
  <sheetData>
    <row r="1" spans="1:2" s="8" customFormat="1" x14ac:dyDescent="0.25">
      <c r="A1" s="9" t="s">
        <v>9</v>
      </c>
      <c r="B1" s="10"/>
    </row>
    <row r="2" spans="1:2" x14ac:dyDescent="0.25">
      <c r="A2" s="11" t="s">
        <v>10</v>
      </c>
      <c r="B2" s="12"/>
    </row>
    <row r="4" spans="1:2" x14ac:dyDescent="0.25">
      <c r="A4" s="11" t="s">
        <v>11</v>
      </c>
      <c r="B4" s="12" t="s">
        <v>12</v>
      </c>
    </row>
    <row r="5" spans="1:2" x14ac:dyDescent="0.25">
      <c r="A5" s="11" t="s">
        <v>13</v>
      </c>
      <c r="B5" s="12" t="s">
        <v>14</v>
      </c>
    </row>
    <row r="6" spans="1:2" x14ac:dyDescent="0.25">
      <c r="A6" s="11" t="s">
        <v>15</v>
      </c>
      <c r="B6" s="12" t="s">
        <v>16</v>
      </c>
    </row>
    <row r="7" spans="1:2" x14ac:dyDescent="0.25">
      <c r="A7" s="11" t="s">
        <v>17</v>
      </c>
      <c r="B7" s="13">
        <v>41.03</v>
      </c>
    </row>
    <row r="8" spans="1:2" x14ac:dyDescent="0.25">
      <c r="A8" s="11" t="s">
        <v>18</v>
      </c>
      <c r="B8" s="13">
        <v>88.7858018224385</v>
      </c>
    </row>
    <row r="9" spans="1:2" x14ac:dyDescent="0.25">
      <c r="A9" s="11" t="s">
        <v>19</v>
      </c>
      <c r="B9" s="14">
        <v>1.163924002496673</v>
      </c>
    </row>
    <row r="10" spans="1:2" x14ac:dyDescent="0.25">
      <c r="A10" s="11" t="s">
        <v>20</v>
      </c>
      <c r="B10" s="14">
        <v>0.1622775459289551</v>
      </c>
    </row>
    <row r="11" spans="1:2" x14ac:dyDescent="0.25">
      <c r="A11" s="11" t="s">
        <v>21</v>
      </c>
      <c r="B11" s="12" t="s">
        <v>22</v>
      </c>
    </row>
    <row r="12" spans="1:2" x14ac:dyDescent="0.25">
      <c r="A12" s="11" t="s">
        <v>23</v>
      </c>
      <c r="B12" s="15">
        <v>46058.370980520835</v>
      </c>
    </row>
    <row r="13" spans="1:2" x14ac:dyDescent="0.25">
      <c r="A13" s="11" t="s">
        <v>24</v>
      </c>
      <c r="B13" s="15">
        <v>46022</v>
      </c>
    </row>
    <row r="14" spans="1:2" x14ac:dyDescent="0.25">
      <c r="A14" s="11" t="s">
        <v>25</v>
      </c>
      <c r="B14" s="12" t="s">
        <v>26</v>
      </c>
    </row>
    <row r="15" spans="1:2" x14ac:dyDescent="0.25">
      <c r="A15" s="11" t="s">
        <v>27</v>
      </c>
      <c r="B15" s="12" t="s">
        <v>28</v>
      </c>
    </row>
    <row r="16" spans="1:2" x14ac:dyDescent="0.25">
      <c r="A16" s="11" t="s">
        <v>29</v>
      </c>
      <c r="B16" s="12" t="s">
        <v>30</v>
      </c>
    </row>
    <row r="17" spans="1:2" x14ac:dyDescent="0.25">
      <c r="A17" s="11" t="s">
        <v>31</v>
      </c>
      <c r="B17" s="12" t="s">
        <v>32</v>
      </c>
    </row>
    <row r="18" spans="1:2" x14ac:dyDescent="0.25">
      <c r="A18" s="11" t="s">
        <v>33</v>
      </c>
      <c r="B18" s="12" t="s">
        <v>34</v>
      </c>
    </row>
    <row r="19" spans="1:2" x14ac:dyDescent="0.25">
      <c r="A19" s="11" t="s">
        <v>35</v>
      </c>
      <c r="B19" s="16">
        <v>38389.80094455001</v>
      </c>
    </row>
    <row r="20" spans="1:2" x14ac:dyDescent="0.25">
      <c r="A20" s="11" t="s">
        <v>36</v>
      </c>
      <c r="B20" s="16">
        <v>935.651985</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howGridLines="0"/>
  </sheetViews>
  <sheetFormatPr defaultRowHeight="15" outlineLevelRow="0" outlineLevelCol="0" x14ac:dyDescent="55"/>
  <cols>
    <col min="1" max="1" width="30" style="6" customWidth="1"/>
    <col min="2" max="2" width="15" style="7" customWidth="1"/>
    <col min="3" max="3" width="60" style="6" customWidth="1"/>
  </cols>
  <sheetData>
    <row r="1" spans="1:3" s="8" customFormat="1" x14ac:dyDescent="0.25">
      <c r="A1" s="9" t="s">
        <v>37</v>
      </c>
      <c r="B1" s="10"/>
      <c r="C1" s="9"/>
    </row>
    <row r="2" spans="1:3" x14ac:dyDescent="0.25">
      <c r="A2" s="11" t="s">
        <v>10</v>
      </c>
      <c r="B2" s="12"/>
      <c r="C2" s="11"/>
    </row>
    <row r="4" spans="1:3" s="17" customFormat="1" x14ac:dyDescent="0.25">
      <c r="A4" s="18" t="s">
        <v>38</v>
      </c>
      <c r="B4" s="18"/>
      <c r="C4" s="18"/>
    </row>
    <row r="5" spans="1:3" x14ac:dyDescent="0.25">
      <c r="A5" s="11" t="s">
        <v>39</v>
      </c>
      <c r="B5" s="11"/>
      <c r="C5" s="11"/>
    </row>
    <row r="7" spans="1:3" s="17" customFormat="1" x14ac:dyDescent="0.25">
      <c r="A7" s="18" t="s">
        <v>37</v>
      </c>
      <c r="B7" s="18"/>
      <c r="C7" s="18"/>
    </row>
    <row r="8" spans="1:3" x14ac:dyDescent="0.25">
      <c r="A8" s="11" t="s">
        <v>40</v>
      </c>
      <c r="B8" s="19">
        <v>0.05</v>
      </c>
      <c r="C8" s="11" t="s">
        <v>41</v>
      </c>
    </row>
    <row r="9" spans="1:3" x14ac:dyDescent="0.25">
      <c r="A9" s="11" t="s">
        <v>42</v>
      </c>
      <c r="B9" s="19">
        <v>0.035</v>
      </c>
      <c r="C9" s="11" t="s">
        <v>43</v>
      </c>
    </row>
    <row r="10" spans="1:3" x14ac:dyDescent="0.25">
      <c r="A10" s="11" t="s">
        <v>44</v>
      </c>
      <c r="B10" s="20">
        <v>10</v>
      </c>
      <c r="C10" s="11" t="s">
        <v>45</v>
      </c>
    </row>
    <row r="11" spans="1:3" x14ac:dyDescent="0.25">
      <c r="A11" s="11" t="s">
        <v>46</v>
      </c>
      <c r="B11" s="20">
        <v>1</v>
      </c>
      <c r="C11" s="11" t="s">
        <v>47</v>
      </c>
    </row>
    <row r="12" spans="1:3" x14ac:dyDescent="0.25">
      <c r="A12" s="11" t="s">
        <v>48</v>
      </c>
      <c r="B12" s="19">
        <v>0.18</v>
      </c>
      <c r="C12" s="11" t="s">
        <v>49</v>
      </c>
    </row>
    <row r="13" spans="1:3" x14ac:dyDescent="0.25">
      <c r="A13" s="11" t="s">
        <v>50</v>
      </c>
      <c r="B13" s="19">
        <v>0.16</v>
      </c>
      <c r="C13" s="11" t="s">
        <v>51</v>
      </c>
    </row>
    <row r="14" spans="1:3" x14ac:dyDescent="0.25">
      <c r="A14" s="11" t="s">
        <v>52</v>
      </c>
      <c r="B14" s="20">
        <v>5</v>
      </c>
      <c r="C14" s="11" t="s">
        <v>53</v>
      </c>
    </row>
    <row r="15" spans="1:3" x14ac:dyDescent="0.25">
      <c r="A15" s="11" t="s">
        <v>54</v>
      </c>
      <c r="B15" s="19">
        <v>0.15</v>
      </c>
      <c r="C15" s="11" t="s">
        <v>55</v>
      </c>
    </row>
    <row r="16" spans="1:3" x14ac:dyDescent="0.25">
      <c r="A16" s="11" t="s">
        <v>56</v>
      </c>
      <c r="B16" s="12" t="s">
        <v>57</v>
      </c>
      <c r="C16" s="11" t="s">
        <v>58</v>
      </c>
    </row>
    <row r="17" spans="1:3" x14ac:dyDescent="0.25">
      <c r="A17" s="11" t="s">
        <v>59</v>
      </c>
      <c r="B17" s="19">
        <v>0.55</v>
      </c>
      <c r="C17" s="11" t="s">
        <v>60</v>
      </c>
    </row>
  </sheetData>
  <mergeCells count="3">
    <mergeCell ref="A4:C4"/>
    <mergeCell ref="A5:C5"/>
    <mergeCell ref="A7:C7"/>
  </mergeCell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0"/>
  <sheetViews>
    <sheetView workbookViewId="0" showGridLines="0"/>
  </sheetViews>
  <sheetFormatPr defaultRowHeight="15" outlineLevelRow="0" outlineLevelCol="0" x14ac:dyDescent="55"/>
  <cols>
    <col min="1" max="1" width="30" style="6" customWidth="1"/>
    <col min="2" max="23" width="15" style="7" customWidth="1"/>
  </cols>
  <sheetData>
    <row r="1" spans="1:23" s="8" customFormat="1" x14ac:dyDescent="0.25">
      <c r="A1" s="9" t="s">
        <v>61</v>
      </c>
      <c r="B1" s="10"/>
      <c r="C1" s="10"/>
      <c r="D1" s="10"/>
      <c r="E1" s="10"/>
      <c r="F1" s="10"/>
      <c r="G1" s="10"/>
      <c r="H1" s="10"/>
      <c r="I1" s="10"/>
      <c r="J1" s="10"/>
      <c r="K1" s="10"/>
      <c r="L1" s="10"/>
      <c r="M1" s="10"/>
      <c r="N1" s="10"/>
      <c r="O1" s="10"/>
      <c r="P1" s="10"/>
      <c r="Q1" s="10"/>
      <c r="R1" s="10"/>
      <c r="S1" s="10"/>
      <c r="T1" s="10"/>
      <c r="U1" s="10"/>
      <c r="V1" s="10"/>
      <c r="W1" s="10"/>
    </row>
    <row r="2" spans="1:23" x14ac:dyDescent="0.25">
      <c r="A2" s="11" t="s">
        <v>10</v>
      </c>
      <c r="B2" s="12"/>
      <c r="C2" s="12"/>
      <c r="D2" s="12"/>
      <c r="E2" s="12"/>
      <c r="F2" s="12"/>
      <c r="G2" s="12"/>
      <c r="H2" s="12"/>
      <c r="I2" s="12"/>
      <c r="J2" s="12"/>
      <c r="K2" s="12"/>
      <c r="L2" s="12"/>
      <c r="M2" s="12"/>
      <c r="N2" s="12"/>
      <c r="O2" s="12"/>
      <c r="P2" s="12"/>
      <c r="Q2" s="12"/>
      <c r="R2" s="12"/>
      <c r="S2" s="12"/>
      <c r="T2" s="12"/>
      <c r="U2" s="12"/>
      <c r="V2" s="12"/>
      <c r="W2" s="12"/>
    </row>
    <row r="4" spans="1:23" x14ac:dyDescent="0.25">
      <c r="A4" s="21" t="s">
        <v>62</v>
      </c>
      <c r="B4" s="22" t="s">
        <v>63</v>
      </c>
      <c r="C4" s="23">
        <f>=IF(1&lt;=INDEX(Assumptions!B:B,MATCH("Years to stability",Assumptions!A:A,0)),"FY+1",IF(1=INDEX(Assumptions!B:B,MATCH("Years to stability",Assumptions!A:A,0))+1,"Stability",""))</f>
      </c>
      <c r="D4" s="23">
        <f>=IF(2&lt;=INDEX(Assumptions!B:B,MATCH("Years to stability",Assumptions!A:A,0)),"FY+2",IF(2=INDEX(Assumptions!B:B,MATCH("Years to stability",Assumptions!A:A,0))+1,"Stability",""))</f>
      </c>
      <c r="E4" s="23">
        <f>=IF(3&lt;=INDEX(Assumptions!B:B,MATCH("Years to stability",Assumptions!A:A,0)),"FY+3",IF(3=INDEX(Assumptions!B:B,MATCH("Years to stability",Assumptions!A:A,0))+1,"Stability",""))</f>
      </c>
      <c r="F4" s="23">
        <f>=IF(4&lt;=INDEX(Assumptions!B:B,MATCH("Years to stability",Assumptions!A:A,0)),"FY+4",IF(4=INDEX(Assumptions!B:B,MATCH("Years to stability",Assumptions!A:A,0))+1,"Stability",""))</f>
      </c>
      <c r="G4" s="23">
        <f>=IF(5&lt;=INDEX(Assumptions!B:B,MATCH("Years to stability",Assumptions!A:A,0)),"FY+5",IF(5=INDEX(Assumptions!B:B,MATCH("Years to stability",Assumptions!A:A,0))+1,"Stability",""))</f>
      </c>
      <c r="H4" s="23">
        <f>=IF(6&lt;=INDEX(Assumptions!B:B,MATCH("Years to stability",Assumptions!A:A,0)),"FY+6",IF(6=INDEX(Assumptions!B:B,MATCH("Years to stability",Assumptions!A:A,0))+1,"Stability",""))</f>
      </c>
      <c r="I4" s="23">
        <f>=IF(7&lt;=INDEX(Assumptions!B:B,MATCH("Years to stability",Assumptions!A:A,0)),"FY+7",IF(7=INDEX(Assumptions!B:B,MATCH("Years to stability",Assumptions!A:A,0))+1,"Stability",""))</f>
      </c>
      <c r="J4" s="23">
        <f>=IF(8&lt;=INDEX(Assumptions!B:B,MATCH("Years to stability",Assumptions!A:A,0)),"FY+8",IF(8=INDEX(Assumptions!B:B,MATCH("Years to stability",Assumptions!A:A,0))+1,"Stability",""))</f>
      </c>
      <c r="K4" s="23">
        <f>=IF(9&lt;=INDEX(Assumptions!B:B,MATCH("Years to stability",Assumptions!A:A,0)),"FY+9",IF(9=INDEX(Assumptions!B:B,MATCH("Years to stability",Assumptions!A:A,0))+1,"Stability",""))</f>
      </c>
      <c r="L4" s="23">
        <f>=IF(10&lt;=INDEX(Assumptions!B:B,MATCH("Years to stability",Assumptions!A:A,0)),"FY+10",IF(10=INDEX(Assumptions!B:B,MATCH("Years to stability",Assumptions!A:A,0))+1,"Stability",""))</f>
      </c>
      <c r="M4" s="23">
        <f>=IF(11&lt;=INDEX(Assumptions!B:B,MATCH("Years to stability",Assumptions!A:A,0)),"FY+11",IF(11=INDEX(Assumptions!B:B,MATCH("Years to stability",Assumptions!A:A,0))+1,"Stability",""))</f>
      </c>
      <c r="N4" s="23">
        <f>=IF(12&lt;=INDEX(Assumptions!B:B,MATCH("Years to stability",Assumptions!A:A,0)),"FY+12",IF(12=INDEX(Assumptions!B:B,MATCH("Years to stability",Assumptions!A:A,0))+1,"Stability",""))</f>
      </c>
      <c r="O4" s="23">
        <f>=IF(13&lt;=INDEX(Assumptions!B:B,MATCH("Years to stability",Assumptions!A:A,0)),"FY+13",IF(13=INDEX(Assumptions!B:B,MATCH("Years to stability",Assumptions!A:A,0))+1,"Stability",""))</f>
      </c>
      <c r="P4" s="23">
        <f>=IF(14&lt;=INDEX(Assumptions!B:B,MATCH("Years to stability",Assumptions!A:A,0)),"FY+14",IF(14=INDEX(Assumptions!B:B,MATCH("Years to stability",Assumptions!A:A,0))+1,"Stability",""))</f>
      </c>
      <c r="Q4" s="23">
        <f>=IF(15&lt;=INDEX(Assumptions!B:B,MATCH("Years to stability",Assumptions!A:A,0)),"FY+15",IF(15=INDEX(Assumptions!B:B,MATCH("Years to stability",Assumptions!A:A,0))+1,"Stability",""))</f>
      </c>
      <c r="R4" s="23">
        <f>=IF(16&lt;=INDEX(Assumptions!B:B,MATCH("Years to stability",Assumptions!A:A,0)),"FY+16",IF(16=INDEX(Assumptions!B:B,MATCH("Years to stability",Assumptions!A:A,0))+1,"Stability",""))</f>
      </c>
      <c r="S4" s="23">
        <f>=IF(17&lt;=INDEX(Assumptions!B:B,MATCH("Years to stability",Assumptions!A:A,0)),"FY+17",IF(17=INDEX(Assumptions!B:B,MATCH("Years to stability",Assumptions!A:A,0))+1,"Stability",""))</f>
      </c>
      <c r="T4" s="23">
        <f>=IF(18&lt;=INDEX(Assumptions!B:B,MATCH("Years to stability",Assumptions!A:A,0)),"FY+18",IF(18=INDEX(Assumptions!B:B,MATCH("Years to stability",Assumptions!A:A,0))+1,"Stability",""))</f>
      </c>
      <c r="U4" s="23">
        <f>=IF(19&lt;=INDEX(Assumptions!B:B,MATCH("Years to stability",Assumptions!A:A,0)),"FY+19",IF(19=INDEX(Assumptions!B:B,MATCH("Years to stability",Assumptions!A:A,0))+1,"Stability",""))</f>
      </c>
      <c r="V4" s="23">
        <f>=IF(20&lt;=INDEX(Assumptions!B:B,MATCH("Years to stability",Assumptions!A:A,0)),"FY+20",IF(20=INDEX(Assumptions!B:B,MATCH("Years to stability",Assumptions!A:A,0))+1,"Stability",""))</f>
      </c>
      <c r="W4" s="23">
        <f>=IF(21&lt;=INDEX(Assumptions!B:B,MATCH("Years to stability",Assumptions!A:A,0)),"FY+21",IF(21=INDEX(Assumptions!B:B,MATCH("Years to stability",Assumptions!A:A,0))+1,"Stability",""))</f>
      </c>
    </row>
    <row r="5" spans="1:23" x14ac:dyDescent="0.25">
      <c r="A5" s="11" t="s">
        <v>64</v>
      </c>
      <c r="B5" s="24">
        <f>=INDEX(Financials!B:B,MATCH("Revenue",Financials!A:A,0))</f>
      </c>
      <c r="C5" s="24">
        <f>=IF(1&lt;=INDEX(Assumptions!B:B,MATCH("Years to stability",Assumptions!A:A,0))+1,B5*(1+C6),"")</f>
      </c>
      <c r="D5" s="24">
        <f>=IF(2&lt;=INDEX(Assumptions!B:B,MATCH("Years to stability",Assumptions!A:A,0))+1,C5*(1+D6),"")</f>
      </c>
      <c r="E5" s="24">
        <f>=IF(3&lt;=INDEX(Assumptions!B:B,MATCH("Years to stability",Assumptions!A:A,0))+1,D5*(1+E6),"")</f>
      </c>
      <c r="F5" s="24">
        <f>=IF(4&lt;=INDEX(Assumptions!B:B,MATCH("Years to stability",Assumptions!A:A,0))+1,E5*(1+F6),"")</f>
      </c>
      <c r="G5" s="24">
        <f>=IF(5&lt;=INDEX(Assumptions!B:B,MATCH("Years to stability",Assumptions!A:A,0))+1,F5*(1+G6),"")</f>
      </c>
      <c r="H5" s="24">
        <f>=IF(6&lt;=INDEX(Assumptions!B:B,MATCH("Years to stability",Assumptions!A:A,0))+1,G5*(1+H6),"")</f>
      </c>
      <c r="I5" s="24">
        <f>=IF(7&lt;=INDEX(Assumptions!B:B,MATCH("Years to stability",Assumptions!A:A,0))+1,H5*(1+I6),"")</f>
      </c>
      <c r="J5" s="24">
        <f>=IF(8&lt;=INDEX(Assumptions!B:B,MATCH("Years to stability",Assumptions!A:A,0))+1,I5*(1+J6),"")</f>
      </c>
      <c r="K5" s="24">
        <f>=IF(9&lt;=INDEX(Assumptions!B:B,MATCH("Years to stability",Assumptions!A:A,0))+1,J5*(1+K6),"")</f>
      </c>
      <c r="L5" s="24">
        <f>=IF(10&lt;=INDEX(Assumptions!B:B,MATCH("Years to stability",Assumptions!A:A,0))+1,K5*(1+L6),"")</f>
      </c>
      <c r="M5" s="24">
        <f>=IF(11&lt;=INDEX(Assumptions!B:B,MATCH("Years to stability",Assumptions!A:A,0))+1,L5*(1+M6),"")</f>
      </c>
      <c r="N5" s="24">
        <f>=IF(12&lt;=INDEX(Assumptions!B:B,MATCH("Years to stability",Assumptions!A:A,0))+1,M5*(1+N6),"")</f>
      </c>
      <c r="O5" s="24">
        <f>=IF(13&lt;=INDEX(Assumptions!B:B,MATCH("Years to stability",Assumptions!A:A,0))+1,N5*(1+O6),"")</f>
      </c>
      <c r="P5" s="24">
        <f>=IF(14&lt;=INDEX(Assumptions!B:B,MATCH("Years to stability",Assumptions!A:A,0))+1,O5*(1+P6),"")</f>
      </c>
      <c r="Q5" s="24">
        <f>=IF(15&lt;=INDEX(Assumptions!B:B,MATCH("Years to stability",Assumptions!A:A,0))+1,P5*(1+Q6),"")</f>
      </c>
      <c r="R5" s="24">
        <f>=IF(16&lt;=INDEX(Assumptions!B:B,MATCH("Years to stability",Assumptions!A:A,0))+1,Q5*(1+R6),"")</f>
      </c>
      <c r="S5" s="24">
        <f>=IF(17&lt;=INDEX(Assumptions!B:B,MATCH("Years to stability",Assumptions!A:A,0))+1,R5*(1+S6),"")</f>
      </c>
      <c r="T5" s="24">
        <f>=IF(18&lt;=INDEX(Assumptions!B:B,MATCH("Years to stability",Assumptions!A:A,0))+1,S5*(1+T6),"")</f>
      </c>
      <c r="U5" s="24">
        <f>=IF(19&lt;=INDEX(Assumptions!B:B,MATCH("Years to stability",Assumptions!A:A,0))+1,T5*(1+U6),"")</f>
      </c>
      <c r="V5" s="24">
        <f>=IF(20&lt;=INDEX(Assumptions!B:B,MATCH("Years to stability",Assumptions!A:A,0))+1,U5*(1+V6),"")</f>
      </c>
      <c r="W5" s="24">
        <f>=IF(21&lt;=INDEX(Assumptions!B:B,MATCH("Years to stability",Assumptions!A:A,0))+1,V5*(1+W6),"")</f>
      </c>
    </row>
    <row r="6" spans="1:23" x14ac:dyDescent="0.25">
      <c r="A6" s="11" t="s">
        <v>65</v>
      </c>
      <c r="B6" s="25">
        <f>=INDEX(Financials!B:B,MATCH("YoY Growth",Financials!A:A,0))</f>
      </c>
      <c r="C6" s="25">
        <f>=IF(1&gt;INDEX(Assumptions!B:B,MATCH("Years to stability",Assumptions!A:A,0))+1,"",IF(1=INDEX(Assumptions!B:B,MATCH("Years to stability",Assumptions!A:A,0))+1,INDEX(Assumptions!B:B,MATCH("Stable growth rate",Assumptions!A:A,0)),IF(INDEX(Assumptions!B:B,MATCH("Years to stability",Assumptions!A:A,0))=1,INDEX(Assumptions!B:B,MATCH("Revenue growth rate",Assumptions!A:A,0)),IF(1&lt;=INT(INDEX(Assumptions!B:B,MATCH("Years to stability",Assumptions!A:A,0))/2),INDEX(Assumptions!B:B,MATCH("Revenue growth rate",Assumptions!A:A,0)),INDEX(Assumptions!B:B,MATCH("Revenue growth rate",Assumptions!A:A,0))+(((1-INT(INDEX(Assumptions!B:B,MATCH("Years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D6" s="25">
        <f>=IF(2&gt;INDEX(Assumptions!B:B,MATCH("Years to stability",Assumptions!A:A,0))+1,"",IF(2=INDEX(Assumptions!B:B,MATCH("Years to stability",Assumptions!A:A,0))+1,INDEX(Assumptions!B:B,MATCH("Stable growth rate",Assumptions!A:A,0)),IF(INDEX(Assumptions!B:B,MATCH("Years to stability",Assumptions!A:A,0))=1,INDEX(Assumptions!B:B,MATCH("Revenue growth rate",Assumptions!A:A,0)),IF(2&lt;=INT(INDEX(Assumptions!B:B,MATCH("Years to stability",Assumptions!A:A,0))/2),INDEX(Assumptions!B:B,MATCH("Revenue growth rate",Assumptions!A:A,0)),INDEX(Assumptions!B:B,MATCH("Revenue growth rate",Assumptions!A:A,0))+(((2-INT(INDEX(Assumptions!B:B,MATCH("Years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E6" s="25">
        <f>=IF(3&gt;INDEX(Assumptions!B:B,MATCH("Years to stability",Assumptions!A:A,0))+1,"",IF(3=INDEX(Assumptions!B:B,MATCH("Years to stability",Assumptions!A:A,0))+1,INDEX(Assumptions!B:B,MATCH("Stable growth rate",Assumptions!A:A,0)),IF(INDEX(Assumptions!B:B,MATCH("Years to stability",Assumptions!A:A,0))=1,INDEX(Assumptions!B:B,MATCH("Revenue growth rate",Assumptions!A:A,0)),IF(3&lt;=INT(INDEX(Assumptions!B:B,MATCH("Years to stability",Assumptions!A:A,0))/2),INDEX(Assumptions!B:B,MATCH("Revenue growth rate",Assumptions!A:A,0)),INDEX(Assumptions!B:B,MATCH("Revenue growth rate",Assumptions!A:A,0))+(((3-INT(INDEX(Assumptions!B:B,MATCH("Years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F6" s="25">
        <f>=IF(4&gt;INDEX(Assumptions!B:B,MATCH("Years to stability",Assumptions!A:A,0))+1,"",IF(4=INDEX(Assumptions!B:B,MATCH("Years to stability",Assumptions!A:A,0))+1,INDEX(Assumptions!B:B,MATCH("Stable growth rate",Assumptions!A:A,0)),IF(INDEX(Assumptions!B:B,MATCH("Years to stability",Assumptions!A:A,0))=1,INDEX(Assumptions!B:B,MATCH("Revenue growth rate",Assumptions!A:A,0)),IF(4&lt;=INT(INDEX(Assumptions!B:B,MATCH("Years to stability",Assumptions!A:A,0))/2),INDEX(Assumptions!B:B,MATCH("Revenue growth rate",Assumptions!A:A,0)),INDEX(Assumptions!B:B,MATCH("Revenue growth rate",Assumptions!A:A,0))+(((4-INT(INDEX(Assumptions!B:B,MATCH("Years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G6" s="25">
        <f>=IF(5&gt;INDEX(Assumptions!B:B,MATCH("Years to stability",Assumptions!A:A,0))+1,"",IF(5=INDEX(Assumptions!B:B,MATCH("Years to stability",Assumptions!A:A,0))+1,INDEX(Assumptions!B:B,MATCH("Stable growth rate",Assumptions!A:A,0)),IF(INDEX(Assumptions!B:B,MATCH("Years to stability",Assumptions!A:A,0))=1,INDEX(Assumptions!B:B,MATCH("Revenue growth rate",Assumptions!A:A,0)),IF(5&lt;=INT(INDEX(Assumptions!B:B,MATCH("Years to stability",Assumptions!A:A,0))/2),INDEX(Assumptions!B:B,MATCH("Revenue growth rate",Assumptions!A:A,0)),INDEX(Assumptions!B:B,MATCH("Revenue growth rate",Assumptions!A:A,0))+(((5-INT(INDEX(Assumptions!B:B,MATCH("Years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H6" s="25">
        <f>=IF(6&gt;INDEX(Assumptions!B:B,MATCH("Years to stability",Assumptions!A:A,0))+1,"",IF(6=INDEX(Assumptions!B:B,MATCH("Years to stability",Assumptions!A:A,0))+1,INDEX(Assumptions!B:B,MATCH("Stable growth rate",Assumptions!A:A,0)),IF(INDEX(Assumptions!B:B,MATCH("Years to stability",Assumptions!A:A,0))=1,INDEX(Assumptions!B:B,MATCH("Revenue growth rate",Assumptions!A:A,0)),IF(6&lt;=INT(INDEX(Assumptions!B:B,MATCH("Years to stability",Assumptions!A:A,0))/2),INDEX(Assumptions!B:B,MATCH("Revenue growth rate",Assumptions!A:A,0)),INDEX(Assumptions!B:B,MATCH("Revenue growth rate",Assumptions!A:A,0))+(((6-INT(INDEX(Assumptions!B:B,MATCH("Years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I6" s="25">
        <f>=IF(7&gt;INDEX(Assumptions!B:B,MATCH("Years to stability",Assumptions!A:A,0))+1,"",IF(7=INDEX(Assumptions!B:B,MATCH("Years to stability",Assumptions!A:A,0))+1,INDEX(Assumptions!B:B,MATCH("Stable growth rate",Assumptions!A:A,0)),IF(INDEX(Assumptions!B:B,MATCH("Years to stability",Assumptions!A:A,0))=1,INDEX(Assumptions!B:B,MATCH("Revenue growth rate",Assumptions!A:A,0)),IF(7&lt;=INT(INDEX(Assumptions!B:B,MATCH("Years to stability",Assumptions!A:A,0))/2),INDEX(Assumptions!B:B,MATCH("Revenue growth rate",Assumptions!A:A,0)),INDEX(Assumptions!B:B,MATCH("Revenue growth rate",Assumptions!A:A,0))+(((7-INT(INDEX(Assumptions!B:B,MATCH("Years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J6" s="25">
        <f>=IF(8&gt;INDEX(Assumptions!B:B,MATCH("Years to stability",Assumptions!A:A,0))+1,"",IF(8=INDEX(Assumptions!B:B,MATCH("Years to stability",Assumptions!A:A,0))+1,INDEX(Assumptions!B:B,MATCH("Stable growth rate",Assumptions!A:A,0)),IF(INDEX(Assumptions!B:B,MATCH("Years to stability",Assumptions!A:A,0))=1,INDEX(Assumptions!B:B,MATCH("Revenue growth rate",Assumptions!A:A,0)),IF(8&lt;=INT(INDEX(Assumptions!B:B,MATCH("Years to stability",Assumptions!A:A,0))/2),INDEX(Assumptions!B:B,MATCH("Revenue growth rate",Assumptions!A:A,0)),INDEX(Assumptions!B:B,MATCH("Revenue growth rate",Assumptions!A:A,0))+(((8-INT(INDEX(Assumptions!B:B,MATCH("Years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K6" s="25">
        <f>=IF(9&gt;INDEX(Assumptions!B:B,MATCH("Years to stability",Assumptions!A:A,0))+1,"",IF(9=INDEX(Assumptions!B:B,MATCH("Years to stability",Assumptions!A:A,0))+1,INDEX(Assumptions!B:B,MATCH("Stable growth rate",Assumptions!A:A,0)),IF(INDEX(Assumptions!B:B,MATCH("Years to stability",Assumptions!A:A,0))=1,INDEX(Assumptions!B:B,MATCH("Revenue growth rate",Assumptions!A:A,0)),IF(9&lt;=INT(INDEX(Assumptions!B:B,MATCH("Years to stability",Assumptions!A:A,0))/2),INDEX(Assumptions!B:B,MATCH("Revenue growth rate",Assumptions!A:A,0)),INDEX(Assumptions!B:B,MATCH("Revenue growth rate",Assumptions!A:A,0))+(((9-INT(INDEX(Assumptions!B:B,MATCH("Years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L6" s="25">
        <f>=IF(10&gt;INDEX(Assumptions!B:B,MATCH("Years to stability",Assumptions!A:A,0))+1,"",IF(10=INDEX(Assumptions!B:B,MATCH("Years to stability",Assumptions!A:A,0))+1,INDEX(Assumptions!B:B,MATCH("Stable growth rate",Assumptions!A:A,0)),IF(INDEX(Assumptions!B:B,MATCH("Years to stability",Assumptions!A:A,0))=1,INDEX(Assumptions!B:B,MATCH("Revenue growth rate",Assumptions!A:A,0)),IF(10&lt;=INT(INDEX(Assumptions!B:B,MATCH("Years to stability",Assumptions!A:A,0))/2),INDEX(Assumptions!B:B,MATCH("Revenue growth rate",Assumptions!A:A,0)),INDEX(Assumptions!B:B,MATCH("Revenue growth rate",Assumptions!A:A,0))+(((10-INT(INDEX(Assumptions!B:B,MATCH("Years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M6" s="25">
        <f>=IF(11&gt;INDEX(Assumptions!B:B,MATCH("Years to stability",Assumptions!A:A,0))+1,"",IF(11=INDEX(Assumptions!B:B,MATCH("Years to stability",Assumptions!A:A,0))+1,INDEX(Assumptions!B:B,MATCH("Stable growth rate",Assumptions!A:A,0)),IF(INDEX(Assumptions!B:B,MATCH("Years to stability",Assumptions!A:A,0))=1,INDEX(Assumptions!B:B,MATCH("Revenue growth rate",Assumptions!A:A,0)),IF(11&lt;=INT(INDEX(Assumptions!B:B,MATCH("Years to stability",Assumptions!A:A,0))/2),INDEX(Assumptions!B:B,MATCH("Revenue growth rate",Assumptions!A:A,0)),INDEX(Assumptions!B:B,MATCH("Revenue growth rate",Assumptions!A:A,0))+(((11-INT(INDEX(Assumptions!B:B,MATCH("Years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N6" s="25">
        <f>=IF(12&gt;INDEX(Assumptions!B:B,MATCH("Years to stability",Assumptions!A:A,0))+1,"",IF(12=INDEX(Assumptions!B:B,MATCH("Years to stability",Assumptions!A:A,0))+1,INDEX(Assumptions!B:B,MATCH("Stable growth rate",Assumptions!A:A,0)),IF(INDEX(Assumptions!B:B,MATCH("Years to stability",Assumptions!A:A,0))=1,INDEX(Assumptions!B:B,MATCH("Revenue growth rate",Assumptions!A:A,0)),IF(12&lt;=INT(INDEX(Assumptions!B:B,MATCH("Years to stability",Assumptions!A:A,0))/2),INDEX(Assumptions!B:B,MATCH("Revenue growth rate",Assumptions!A:A,0)),INDEX(Assumptions!B:B,MATCH("Revenue growth rate",Assumptions!A:A,0))+(((12-INT(INDEX(Assumptions!B:B,MATCH("Years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O6" s="25">
        <f>=IF(13&gt;INDEX(Assumptions!B:B,MATCH("Years to stability",Assumptions!A:A,0))+1,"",IF(13=INDEX(Assumptions!B:B,MATCH("Years to stability",Assumptions!A:A,0))+1,INDEX(Assumptions!B:B,MATCH("Stable growth rate",Assumptions!A:A,0)),IF(INDEX(Assumptions!B:B,MATCH("Years to stability",Assumptions!A:A,0))=1,INDEX(Assumptions!B:B,MATCH("Revenue growth rate",Assumptions!A:A,0)),IF(13&lt;=INT(INDEX(Assumptions!B:B,MATCH("Years to stability",Assumptions!A:A,0))/2),INDEX(Assumptions!B:B,MATCH("Revenue growth rate",Assumptions!A:A,0)),INDEX(Assumptions!B:B,MATCH("Revenue growth rate",Assumptions!A:A,0))+(((13-INT(INDEX(Assumptions!B:B,MATCH("Years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P6" s="25">
        <f>=IF(14&gt;INDEX(Assumptions!B:B,MATCH("Years to stability",Assumptions!A:A,0))+1,"",IF(14=INDEX(Assumptions!B:B,MATCH("Years to stability",Assumptions!A:A,0))+1,INDEX(Assumptions!B:B,MATCH("Stable growth rate",Assumptions!A:A,0)),IF(INDEX(Assumptions!B:B,MATCH("Years to stability",Assumptions!A:A,0))=1,INDEX(Assumptions!B:B,MATCH("Revenue growth rate",Assumptions!A:A,0)),IF(14&lt;=INT(INDEX(Assumptions!B:B,MATCH("Years to stability",Assumptions!A:A,0))/2),INDEX(Assumptions!B:B,MATCH("Revenue growth rate",Assumptions!A:A,0)),INDEX(Assumptions!B:B,MATCH("Revenue growth rate",Assumptions!A:A,0))+(((14-INT(INDEX(Assumptions!B:B,MATCH("Years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Q6" s="25">
        <f>=IF(15&gt;INDEX(Assumptions!B:B,MATCH("Years to stability",Assumptions!A:A,0))+1,"",IF(15=INDEX(Assumptions!B:B,MATCH("Years to stability",Assumptions!A:A,0))+1,INDEX(Assumptions!B:B,MATCH("Stable growth rate",Assumptions!A:A,0)),IF(INDEX(Assumptions!B:B,MATCH("Years to stability",Assumptions!A:A,0))=1,INDEX(Assumptions!B:B,MATCH("Revenue growth rate",Assumptions!A:A,0)),IF(15&lt;=INT(INDEX(Assumptions!B:B,MATCH("Years to stability",Assumptions!A:A,0))/2),INDEX(Assumptions!B:B,MATCH("Revenue growth rate",Assumptions!A:A,0)),INDEX(Assumptions!B:B,MATCH("Revenue growth rate",Assumptions!A:A,0))+(((15-INT(INDEX(Assumptions!B:B,MATCH("Years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R6" s="25">
        <f>=IF(16&gt;INDEX(Assumptions!B:B,MATCH("Years to stability",Assumptions!A:A,0))+1,"",IF(16=INDEX(Assumptions!B:B,MATCH("Years to stability",Assumptions!A:A,0))+1,INDEX(Assumptions!B:B,MATCH("Stable growth rate",Assumptions!A:A,0)),IF(INDEX(Assumptions!B:B,MATCH("Years to stability",Assumptions!A:A,0))=1,INDEX(Assumptions!B:B,MATCH("Revenue growth rate",Assumptions!A:A,0)),IF(16&lt;=INT(INDEX(Assumptions!B:B,MATCH("Years to stability",Assumptions!A:A,0))/2),INDEX(Assumptions!B:B,MATCH("Revenue growth rate",Assumptions!A:A,0)),INDEX(Assumptions!B:B,MATCH("Revenue growth rate",Assumptions!A:A,0))+(((16-INT(INDEX(Assumptions!B:B,MATCH("Years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S6" s="25">
        <f>=IF(17&gt;INDEX(Assumptions!B:B,MATCH("Years to stability",Assumptions!A:A,0))+1,"",IF(17=INDEX(Assumptions!B:B,MATCH("Years to stability",Assumptions!A:A,0))+1,INDEX(Assumptions!B:B,MATCH("Stable growth rate",Assumptions!A:A,0)),IF(INDEX(Assumptions!B:B,MATCH("Years to stability",Assumptions!A:A,0))=1,INDEX(Assumptions!B:B,MATCH("Revenue growth rate",Assumptions!A:A,0)),IF(17&lt;=INT(INDEX(Assumptions!B:B,MATCH("Years to stability",Assumptions!A:A,0))/2),INDEX(Assumptions!B:B,MATCH("Revenue growth rate",Assumptions!A:A,0)),INDEX(Assumptions!B:B,MATCH("Revenue growth rate",Assumptions!A:A,0))+(((17-INT(INDEX(Assumptions!B:B,MATCH("Years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T6" s="25">
        <f>=IF(18&gt;INDEX(Assumptions!B:B,MATCH("Years to stability",Assumptions!A:A,0))+1,"",IF(18=INDEX(Assumptions!B:B,MATCH("Years to stability",Assumptions!A:A,0))+1,INDEX(Assumptions!B:B,MATCH("Stable growth rate",Assumptions!A:A,0)),IF(INDEX(Assumptions!B:B,MATCH("Years to stability",Assumptions!A:A,0))=1,INDEX(Assumptions!B:B,MATCH("Revenue growth rate",Assumptions!A:A,0)),IF(18&lt;=INT(INDEX(Assumptions!B:B,MATCH("Years to stability",Assumptions!A:A,0))/2),INDEX(Assumptions!B:B,MATCH("Revenue growth rate",Assumptions!A:A,0)),INDEX(Assumptions!B:B,MATCH("Revenue growth rate",Assumptions!A:A,0))+(((18-INT(INDEX(Assumptions!B:B,MATCH("Years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U6" s="25">
        <f>=IF(19&gt;INDEX(Assumptions!B:B,MATCH("Years to stability",Assumptions!A:A,0))+1,"",IF(19=INDEX(Assumptions!B:B,MATCH("Years to stability",Assumptions!A:A,0))+1,INDEX(Assumptions!B:B,MATCH("Stable growth rate",Assumptions!A:A,0)),IF(INDEX(Assumptions!B:B,MATCH("Years to stability",Assumptions!A:A,0))=1,INDEX(Assumptions!B:B,MATCH("Revenue growth rate",Assumptions!A:A,0)),IF(19&lt;=INT(INDEX(Assumptions!B:B,MATCH("Years to stability",Assumptions!A:A,0))/2),INDEX(Assumptions!B:B,MATCH("Revenue growth rate",Assumptions!A:A,0)),INDEX(Assumptions!B:B,MATCH("Revenue growth rate",Assumptions!A:A,0))+(((19-INT(INDEX(Assumptions!B:B,MATCH("Years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V6" s="25">
        <f>=IF(20&gt;INDEX(Assumptions!B:B,MATCH("Years to stability",Assumptions!A:A,0))+1,"",IF(20=INDEX(Assumptions!B:B,MATCH("Years to stability",Assumptions!A:A,0))+1,INDEX(Assumptions!B:B,MATCH("Stable growth rate",Assumptions!A:A,0)),IF(INDEX(Assumptions!B:B,MATCH("Years to stability",Assumptions!A:A,0))=1,INDEX(Assumptions!B:B,MATCH("Revenue growth rate",Assumptions!A:A,0)),IF(20&lt;=INT(INDEX(Assumptions!B:B,MATCH("Years to stability",Assumptions!A:A,0))/2),INDEX(Assumptions!B:B,MATCH("Revenue growth rate",Assumptions!A:A,0)),INDEX(Assumptions!B:B,MATCH("Revenue growth rate",Assumptions!A:A,0))+(((20-INT(INDEX(Assumptions!B:B,MATCH("Years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c r="W6" s="25">
        <f>=IF(21&gt;INDEX(Assumptions!B:B,MATCH("Years to stability",Assumptions!A:A,0))+1,"",IF(21=INDEX(Assumptions!B:B,MATCH("Years to stability",Assumptions!A:A,0))+1,INDEX(Assumptions!B:B,MATCH("Stable growth rate",Assumptions!A:A,0)),IF(INDEX(Assumptions!B:B,MATCH("Years to stability",Assumptions!A:A,0))=1,INDEX(Assumptions!B:B,MATCH("Revenue growth rate",Assumptions!A:A,0)),IF(21&lt;=INT(INDEX(Assumptions!B:B,MATCH("Years to stability",Assumptions!A:A,0))/2),INDEX(Assumptions!B:B,MATCH("Revenue growth rate",Assumptions!A:A,0)),INDEX(Assumptions!B:B,MATCH("Revenue growth rate",Assumptions!A:A,0))+(((21-INT(INDEX(Assumptions!B:B,MATCH("Years to stability",Assumptions!A:A,0))/2))/(INDEX(Assumptions!B:B,MATCH("Years to stability",Assumptions!A:A,0))-INT(INDEX(Assumptions!B:B,MATCH("Years to stability",Assumptions!A:A,0))/2)))*(INDEX(Assumptions!B:B,MATCH("Stable growth rate",Assumptions!A:A,0))-INDEX(Assumptions!B:B,MATCH("Revenue growth rate",Assumptions!A:A,0))))))))</f>
      </c>
    </row>
    <row r="7" spans="1:23" x14ac:dyDescent="0.25">
      <c r="A7" s="11" t="s">
        <v>66</v>
      </c>
      <c r="B7" s="24">
        <f>=B5-B8</f>
      </c>
      <c r="C7" s="24">
        <f>=IF(1&lt;=INDEX(Assumptions!B:B,MATCH("Years to stability",Assumptions!A:A,0))+1,C5-C8,"")</f>
      </c>
      <c r="D7" s="24">
        <f>=IF(2&lt;=INDEX(Assumptions!B:B,MATCH("Years to stability",Assumptions!A:A,0))+1,D5-D8,"")</f>
      </c>
      <c r="E7" s="24">
        <f>=IF(3&lt;=INDEX(Assumptions!B:B,MATCH("Years to stability",Assumptions!A:A,0))+1,E5-E8,"")</f>
      </c>
      <c r="F7" s="24">
        <f>=IF(4&lt;=INDEX(Assumptions!B:B,MATCH("Years to stability",Assumptions!A:A,0))+1,F5-F8,"")</f>
      </c>
      <c r="G7" s="24">
        <f>=IF(5&lt;=INDEX(Assumptions!B:B,MATCH("Years to stability",Assumptions!A:A,0))+1,G5-G8,"")</f>
      </c>
      <c r="H7" s="24">
        <f>=IF(6&lt;=INDEX(Assumptions!B:B,MATCH("Years to stability",Assumptions!A:A,0))+1,H5-H8,"")</f>
      </c>
      <c r="I7" s="24">
        <f>=IF(7&lt;=INDEX(Assumptions!B:B,MATCH("Years to stability",Assumptions!A:A,0))+1,I5-I8,"")</f>
      </c>
      <c r="J7" s="24">
        <f>=IF(8&lt;=INDEX(Assumptions!B:B,MATCH("Years to stability",Assumptions!A:A,0))+1,J5-J8,"")</f>
      </c>
      <c r="K7" s="24">
        <f>=IF(9&lt;=INDEX(Assumptions!B:B,MATCH("Years to stability",Assumptions!A:A,0))+1,K5-K8,"")</f>
      </c>
      <c r="L7" s="24">
        <f>=IF(10&lt;=INDEX(Assumptions!B:B,MATCH("Years to stability",Assumptions!A:A,0))+1,L5-L8,"")</f>
      </c>
      <c r="M7" s="24">
        <f>=IF(11&lt;=INDEX(Assumptions!B:B,MATCH("Years to stability",Assumptions!A:A,0))+1,M5-M8,"")</f>
      </c>
      <c r="N7" s="24">
        <f>=IF(12&lt;=INDEX(Assumptions!B:B,MATCH("Years to stability",Assumptions!A:A,0))+1,N5-N8,"")</f>
      </c>
      <c r="O7" s="24">
        <f>=IF(13&lt;=INDEX(Assumptions!B:B,MATCH("Years to stability",Assumptions!A:A,0))+1,O5-O8,"")</f>
      </c>
      <c r="P7" s="24">
        <f>=IF(14&lt;=INDEX(Assumptions!B:B,MATCH("Years to stability",Assumptions!A:A,0))+1,P5-P8,"")</f>
      </c>
      <c r="Q7" s="24">
        <f>=IF(15&lt;=INDEX(Assumptions!B:B,MATCH("Years to stability",Assumptions!A:A,0))+1,Q5-Q8,"")</f>
      </c>
      <c r="R7" s="24">
        <f>=IF(16&lt;=INDEX(Assumptions!B:B,MATCH("Years to stability",Assumptions!A:A,0))+1,R5-R8,"")</f>
      </c>
      <c r="S7" s="24">
        <f>=IF(17&lt;=INDEX(Assumptions!B:B,MATCH("Years to stability",Assumptions!A:A,0))+1,S5-S8,"")</f>
      </c>
      <c r="T7" s="24">
        <f>=IF(18&lt;=INDEX(Assumptions!B:B,MATCH("Years to stability",Assumptions!A:A,0))+1,T5-T8,"")</f>
      </c>
      <c r="U7" s="24">
        <f>=IF(19&lt;=INDEX(Assumptions!B:B,MATCH("Years to stability",Assumptions!A:A,0))+1,U5-U8,"")</f>
      </c>
      <c r="V7" s="24">
        <f>=IF(20&lt;=INDEX(Assumptions!B:B,MATCH("Years to stability",Assumptions!A:A,0))+1,V5-V8,"")</f>
      </c>
      <c r="W7" s="24">
        <f>=IF(21&lt;=INDEX(Assumptions!B:B,MATCH("Years to stability",Assumptions!A:A,0))+1,W5-W8,"")</f>
      </c>
    </row>
    <row r="8" spans="1:23" x14ac:dyDescent="0.25">
      <c r="A8" s="11" t="s">
        <v>67</v>
      </c>
      <c r="B8" s="24">
        <f>=INDEX(Financials!B:B,MATCH("Adjusted Net Profit",Financials!A:A,0))</f>
      </c>
      <c r="C8" s="24">
        <f>=IF(1&lt;=INDEX(Assumptions!B:B,MATCH("Years to stability",Assumptions!A:A,0))+1,C5*C9,"")</f>
      </c>
      <c r="D8" s="24">
        <f>=IF(2&lt;=INDEX(Assumptions!B:B,MATCH("Years to stability",Assumptions!A:A,0))+1,D5*D9,"")</f>
      </c>
      <c r="E8" s="24">
        <f>=IF(3&lt;=INDEX(Assumptions!B:B,MATCH("Years to stability",Assumptions!A:A,0))+1,E5*E9,"")</f>
      </c>
      <c r="F8" s="24">
        <f>=IF(4&lt;=INDEX(Assumptions!B:B,MATCH("Years to stability",Assumptions!A:A,0))+1,F5*F9,"")</f>
      </c>
      <c r="G8" s="24">
        <f>=IF(5&lt;=INDEX(Assumptions!B:B,MATCH("Years to stability",Assumptions!A:A,0))+1,G5*G9,"")</f>
      </c>
      <c r="H8" s="24">
        <f>=IF(6&lt;=INDEX(Assumptions!B:B,MATCH("Years to stability",Assumptions!A:A,0))+1,H5*H9,"")</f>
      </c>
      <c r="I8" s="24">
        <f>=IF(7&lt;=INDEX(Assumptions!B:B,MATCH("Years to stability",Assumptions!A:A,0))+1,I5*I9,"")</f>
      </c>
      <c r="J8" s="24">
        <f>=IF(8&lt;=INDEX(Assumptions!B:B,MATCH("Years to stability",Assumptions!A:A,0))+1,J5*J9,"")</f>
      </c>
      <c r="K8" s="24">
        <f>=IF(9&lt;=INDEX(Assumptions!B:B,MATCH("Years to stability",Assumptions!A:A,0))+1,K5*K9,"")</f>
      </c>
      <c r="L8" s="24">
        <f>=IF(10&lt;=INDEX(Assumptions!B:B,MATCH("Years to stability",Assumptions!A:A,0))+1,L5*L9,"")</f>
      </c>
      <c r="M8" s="24">
        <f>=IF(11&lt;=INDEX(Assumptions!B:B,MATCH("Years to stability",Assumptions!A:A,0))+1,M5*M9,"")</f>
      </c>
      <c r="N8" s="24">
        <f>=IF(12&lt;=INDEX(Assumptions!B:B,MATCH("Years to stability",Assumptions!A:A,0))+1,N5*N9,"")</f>
      </c>
      <c r="O8" s="24">
        <f>=IF(13&lt;=INDEX(Assumptions!B:B,MATCH("Years to stability",Assumptions!A:A,0))+1,O5*O9,"")</f>
      </c>
      <c r="P8" s="24">
        <f>=IF(14&lt;=INDEX(Assumptions!B:B,MATCH("Years to stability",Assumptions!A:A,0))+1,P5*P9,"")</f>
      </c>
      <c r="Q8" s="24">
        <f>=IF(15&lt;=INDEX(Assumptions!B:B,MATCH("Years to stability",Assumptions!A:A,0))+1,Q5*Q9,"")</f>
      </c>
      <c r="R8" s="24">
        <f>=IF(16&lt;=INDEX(Assumptions!B:B,MATCH("Years to stability",Assumptions!A:A,0))+1,R5*R9,"")</f>
      </c>
      <c r="S8" s="24">
        <f>=IF(17&lt;=INDEX(Assumptions!B:B,MATCH("Years to stability",Assumptions!A:A,0))+1,S5*S9,"")</f>
      </c>
      <c r="T8" s="24">
        <f>=IF(18&lt;=INDEX(Assumptions!B:B,MATCH("Years to stability",Assumptions!A:A,0))+1,T5*T9,"")</f>
      </c>
      <c r="U8" s="24">
        <f>=IF(19&lt;=INDEX(Assumptions!B:B,MATCH("Years to stability",Assumptions!A:A,0))+1,U5*U9,"")</f>
      </c>
      <c r="V8" s="24">
        <f>=IF(20&lt;=INDEX(Assumptions!B:B,MATCH("Years to stability",Assumptions!A:A,0))+1,V5*V9,"")</f>
      </c>
      <c r="W8" s="24">
        <f>=IF(21&lt;=INDEX(Assumptions!B:B,MATCH("Years to stability",Assumptions!A:A,0))+1,W5*W9,"")</f>
      </c>
    </row>
    <row r="9" spans="1:23" x14ac:dyDescent="0.25">
      <c r="A9" s="11" t="s">
        <v>68</v>
      </c>
      <c r="B9" s="25">
        <f>=INDEX(Financials!B:B,MATCH("Margin",Financials!A:A,0))</f>
      </c>
      <c r="C9" s="25">
        <f>=IF(1&gt;INDEX(Assumptions!B:B,MATCH("Years to stability",Assumptions!A:A,0))+1,"",IF(INDEX(Assumptions!B:B,MATCH("Margin convergence",Assumptions!A:A,0))=0,INDEX(Assumptions!B:B,MATCH("FY+1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margin",Assumptions!A:A,0))),IF(1-1&gt;=INDEX(Assumptions!B:B,MATCH("Margin convergence",Assumptions!A:A,0)),INDEX(Assumptions!B:B,MATCH("Stable net profit margin",Assumptions!A:A,0)),INDEX(Assumptions!B:B,MATCH("FY+1 net profit margin",Assumptions!A:A,0))+IF(INDEX(Assumptions!B:B,MATCH("Margin convergence",Assumptions!A:A,0))=0,(1-1)/(INDEX(Assumptions!B:B,MATCH("Years to stability",Assumptions!A:A,0))-1),MIN(1-1,INDEX(Assumptions!B:B,MATCH("Margin convergence",Assumptions!A:A,0)))/INDEX(Assumptions!B:B,MATCH("Margin convergence",Assumptions!A:A,0)))*(INDEX(Assumptions!B:B,MATCH("Stable net profit margin",Assumptions!A:A,0))-INDEX(Assumptions!B:B,MATCH("FY+1 net profit margin",Assumptions!A:A,0))))))</f>
      </c>
      <c r="D9" s="25">
        <f>=IF(2&gt;INDEX(Assumptions!B:B,MATCH("Years to stability",Assumptions!A:A,0))+1,"",IF(INDEX(Assumptions!B:B,MATCH("Margin convergence",Assumptions!A:A,0))=0,INDEX(Assumptions!B:B,MATCH("FY+1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margin",Assumptions!A:A,0))),IF(2-1&gt;=INDEX(Assumptions!B:B,MATCH("Margin convergence",Assumptions!A:A,0)),INDEX(Assumptions!B:B,MATCH("Stable net profit margin",Assumptions!A:A,0)),INDEX(Assumptions!B:B,MATCH("FY+1 net profit margin",Assumptions!A:A,0))+IF(INDEX(Assumptions!B:B,MATCH("Margin convergence",Assumptions!A:A,0))=0,(2-1)/(INDEX(Assumptions!B:B,MATCH("Years to stability",Assumptions!A:A,0))-1),MIN(2-1,INDEX(Assumptions!B:B,MATCH("Margin convergence",Assumptions!A:A,0)))/INDEX(Assumptions!B:B,MATCH("Margin convergence",Assumptions!A:A,0)))*(INDEX(Assumptions!B:B,MATCH("Stable net profit margin",Assumptions!A:A,0))-INDEX(Assumptions!B:B,MATCH("FY+1 net profit margin",Assumptions!A:A,0))))))</f>
      </c>
      <c r="E9" s="25">
        <f>=IF(3&gt;INDEX(Assumptions!B:B,MATCH("Years to stability",Assumptions!A:A,0))+1,"",IF(INDEX(Assumptions!B:B,MATCH("Margin convergence",Assumptions!A:A,0))=0,INDEX(Assumptions!B:B,MATCH("FY+1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margin",Assumptions!A:A,0))),IF(3-1&gt;=INDEX(Assumptions!B:B,MATCH("Margin convergence",Assumptions!A:A,0)),INDEX(Assumptions!B:B,MATCH("Stable net profit margin",Assumptions!A:A,0)),INDEX(Assumptions!B:B,MATCH("FY+1 net profit margin",Assumptions!A:A,0))+IF(INDEX(Assumptions!B:B,MATCH("Margin convergence",Assumptions!A:A,0))=0,(3-1)/(INDEX(Assumptions!B:B,MATCH("Years to stability",Assumptions!A:A,0))-1),MIN(3-1,INDEX(Assumptions!B:B,MATCH("Margin convergence",Assumptions!A:A,0)))/INDEX(Assumptions!B:B,MATCH("Margin convergence",Assumptions!A:A,0)))*(INDEX(Assumptions!B:B,MATCH("Stable net profit margin",Assumptions!A:A,0))-INDEX(Assumptions!B:B,MATCH("FY+1 net profit margin",Assumptions!A:A,0))))))</f>
      </c>
      <c r="F9" s="25">
        <f>=IF(4&gt;INDEX(Assumptions!B:B,MATCH("Years to stability",Assumptions!A:A,0))+1,"",IF(INDEX(Assumptions!B:B,MATCH("Margin convergence",Assumptions!A:A,0))=0,INDEX(Assumptions!B:B,MATCH("FY+1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margin",Assumptions!A:A,0))),IF(4-1&gt;=INDEX(Assumptions!B:B,MATCH("Margin convergence",Assumptions!A:A,0)),INDEX(Assumptions!B:B,MATCH("Stable net profit margin",Assumptions!A:A,0)),INDEX(Assumptions!B:B,MATCH("FY+1 net profit margin",Assumptions!A:A,0))+IF(INDEX(Assumptions!B:B,MATCH("Margin convergence",Assumptions!A:A,0))=0,(4-1)/(INDEX(Assumptions!B:B,MATCH("Years to stability",Assumptions!A:A,0))-1),MIN(4-1,INDEX(Assumptions!B:B,MATCH("Margin convergence",Assumptions!A:A,0)))/INDEX(Assumptions!B:B,MATCH("Margin convergence",Assumptions!A:A,0)))*(INDEX(Assumptions!B:B,MATCH("Stable net profit margin",Assumptions!A:A,0))-INDEX(Assumptions!B:B,MATCH("FY+1 net profit margin",Assumptions!A:A,0))))))</f>
      </c>
      <c r="G9" s="25">
        <f>=IF(5&gt;INDEX(Assumptions!B:B,MATCH("Years to stability",Assumptions!A:A,0))+1,"",IF(INDEX(Assumptions!B:B,MATCH("Margin convergence",Assumptions!A:A,0))=0,INDEX(Assumptions!B:B,MATCH("FY+1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margin",Assumptions!A:A,0))),IF(5-1&gt;=INDEX(Assumptions!B:B,MATCH("Margin convergence",Assumptions!A:A,0)),INDEX(Assumptions!B:B,MATCH("Stable net profit margin",Assumptions!A:A,0)),INDEX(Assumptions!B:B,MATCH("FY+1 net profit margin",Assumptions!A:A,0))+IF(INDEX(Assumptions!B:B,MATCH("Margin convergence",Assumptions!A:A,0))=0,(5-1)/(INDEX(Assumptions!B:B,MATCH("Years to stability",Assumptions!A:A,0))-1),MIN(5-1,INDEX(Assumptions!B:B,MATCH("Margin convergence",Assumptions!A:A,0)))/INDEX(Assumptions!B:B,MATCH("Margin convergence",Assumptions!A:A,0)))*(INDEX(Assumptions!B:B,MATCH("Stable net profit margin",Assumptions!A:A,0))-INDEX(Assumptions!B:B,MATCH("FY+1 net profit margin",Assumptions!A:A,0))))))</f>
      </c>
      <c r="H9" s="25">
        <f>=IF(6&gt;INDEX(Assumptions!B:B,MATCH("Years to stability",Assumptions!A:A,0))+1,"",IF(INDEX(Assumptions!B:B,MATCH("Margin convergence",Assumptions!A:A,0))=0,INDEX(Assumptions!B:B,MATCH("FY+1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margin",Assumptions!A:A,0))),IF(6-1&gt;=INDEX(Assumptions!B:B,MATCH("Margin convergence",Assumptions!A:A,0)),INDEX(Assumptions!B:B,MATCH("Stable net profit margin",Assumptions!A:A,0)),INDEX(Assumptions!B:B,MATCH("FY+1 net profit margin",Assumptions!A:A,0))+IF(INDEX(Assumptions!B:B,MATCH("Margin convergence",Assumptions!A:A,0))=0,(6-1)/(INDEX(Assumptions!B:B,MATCH("Years to stability",Assumptions!A:A,0))-1),MIN(6-1,INDEX(Assumptions!B:B,MATCH("Margin convergence",Assumptions!A:A,0)))/INDEX(Assumptions!B:B,MATCH("Margin convergence",Assumptions!A:A,0)))*(INDEX(Assumptions!B:B,MATCH("Stable net profit margin",Assumptions!A:A,0))-INDEX(Assumptions!B:B,MATCH("FY+1 net profit margin",Assumptions!A:A,0))))))</f>
      </c>
      <c r="I9" s="25">
        <f>=IF(7&gt;INDEX(Assumptions!B:B,MATCH("Years to stability",Assumptions!A:A,0))+1,"",IF(INDEX(Assumptions!B:B,MATCH("Margin convergence",Assumptions!A:A,0))=0,INDEX(Assumptions!B:B,MATCH("FY+1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margin",Assumptions!A:A,0))),IF(7-1&gt;=INDEX(Assumptions!B:B,MATCH("Margin convergence",Assumptions!A:A,0)),INDEX(Assumptions!B:B,MATCH("Stable net profit margin",Assumptions!A:A,0)),INDEX(Assumptions!B:B,MATCH("FY+1 net profit margin",Assumptions!A:A,0))+IF(INDEX(Assumptions!B:B,MATCH("Margin convergence",Assumptions!A:A,0))=0,(7-1)/(INDEX(Assumptions!B:B,MATCH("Years to stability",Assumptions!A:A,0))-1),MIN(7-1,INDEX(Assumptions!B:B,MATCH("Margin convergence",Assumptions!A:A,0)))/INDEX(Assumptions!B:B,MATCH("Margin convergence",Assumptions!A:A,0)))*(INDEX(Assumptions!B:B,MATCH("Stable net profit margin",Assumptions!A:A,0))-INDEX(Assumptions!B:B,MATCH("FY+1 net profit margin",Assumptions!A:A,0))))))</f>
      </c>
      <c r="J9" s="25">
        <f>=IF(8&gt;INDEX(Assumptions!B:B,MATCH("Years to stability",Assumptions!A:A,0))+1,"",IF(INDEX(Assumptions!B:B,MATCH("Margin convergence",Assumptions!A:A,0))=0,INDEX(Assumptions!B:B,MATCH("FY+1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margin",Assumptions!A:A,0))),IF(8-1&gt;=INDEX(Assumptions!B:B,MATCH("Margin convergence",Assumptions!A:A,0)),INDEX(Assumptions!B:B,MATCH("Stable net profit margin",Assumptions!A:A,0)),INDEX(Assumptions!B:B,MATCH("FY+1 net profit margin",Assumptions!A:A,0))+IF(INDEX(Assumptions!B:B,MATCH("Margin convergence",Assumptions!A:A,0))=0,(8-1)/(INDEX(Assumptions!B:B,MATCH("Years to stability",Assumptions!A:A,0))-1),MIN(8-1,INDEX(Assumptions!B:B,MATCH("Margin convergence",Assumptions!A:A,0)))/INDEX(Assumptions!B:B,MATCH("Margin convergence",Assumptions!A:A,0)))*(INDEX(Assumptions!B:B,MATCH("Stable net profit margin",Assumptions!A:A,0))-INDEX(Assumptions!B:B,MATCH("FY+1 net profit margin",Assumptions!A:A,0))))))</f>
      </c>
      <c r="K9" s="25">
        <f>=IF(9&gt;INDEX(Assumptions!B:B,MATCH("Years to stability",Assumptions!A:A,0))+1,"",IF(INDEX(Assumptions!B:B,MATCH("Margin convergence",Assumptions!A:A,0))=0,INDEX(Assumptions!B:B,MATCH("FY+1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margin",Assumptions!A:A,0))),IF(9-1&gt;=INDEX(Assumptions!B:B,MATCH("Margin convergence",Assumptions!A:A,0)),INDEX(Assumptions!B:B,MATCH("Stable net profit margin",Assumptions!A:A,0)),INDEX(Assumptions!B:B,MATCH("FY+1 net profit margin",Assumptions!A:A,0))+IF(INDEX(Assumptions!B:B,MATCH("Margin convergence",Assumptions!A:A,0))=0,(9-1)/(INDEX(Assumptions!B:B,MATCH("Years to stability",Assumptions!A:A,0))-1),MIN(9-1,INDEX(Assumptions!B:B,MATCH("Margin convergence",Assumptions!A:A,0)))/INDEX(Assumptions!B:B,MATCH("Margin convergence",Assumptions!A:A,0)))*(INDEX(Assumptions!B:B,MATCH("Stable net profit margin",Assumptions!A:A,0))-INDEX(Assumptions!B:B,MATCH("FY+1 net profit margin",Assumptions!A:A,0))))))</f>
      </c>
      <c r="L9" s="25">
        <f>=IF(10&gt;INDEX(Assumptions!B:B,MATCH("Years to stability",Assumptions!A:A,0))+1,"",IF(INDEX(Assumptions!B:B,MATCH("Margin convergence",Assumptions!A:A,0))=0,INDEX(Assumptions!B:B,MATCH("FY+1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margin",Assumptions!A:A,0))),IF(10-1&gt;=INDEX(Assumptions!B:B,MATCH("Margin convergence",Assumptions!A:A,0)),INDEX(Assumptions!B:B,MATCH("Stable net profit margin",Assumptions!A:A,0)),INDEX(Assumptions!B:B,MATCH("FY+1 net profit margin",Assumptions!A:A,0))+IF(INDEX(Assumptions!B:B,MATCH("Margin convergence",Assumptions!A:A,0))=0,(10-1)/(INDEX(Assumptions!B:B,MATCH("Years to stability",Assumptions!A:A,0))-1),MIN(10-1,INDEX(Assumptions!B:B,MATCH("Margin convergence",Assumptions!A:A,0)))/INDEX(Assumptions!B:B,MATCH("Margin convergence",Assumptions!A:A,0)))*(INDEX(Assumptions!B:B,MATCH("Stable net profit margin",Assumptions!A:A,0))-INDEX(Assumptions!B:B,MATCH("FY+1 net profit margin",Assumptions!A:A,0))))))</f>
      </c>
      <c r="M9" s="25">
        <f>=IF(11&gt;INDEX(Assumptions!B:B,MATCH("Years to stability",Assumptions!A:A,0))+1,"",IF(INDEX(Assumptions!B:B,MATCH("Margin convergence",Assumptions!A:A,0))=0,INDEX(Assumptions!B:B,MATCH("FY+1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margin",Assumptions!A:A,0))),IF(11-1&gt;=INDEX(Assumptions!B:B,MATCH("Margin convergence",Assumptions!A:A,0)),INDEX(Assumptions!B:B,MATCH("Stable net profit margin",Assumptions!A:A,0)),INDEX(Assumptions!B:B,MATCH("FY+1 net profit margin",Assumptions!A:A,0))+IF(INDEX(Assumptions!B:B,MATCH("Margin convergence",Assumptions!A:A,0))=0,(11-1)/(INDEX(Assumptions!B:B,MATCH("Years to stability",Assumptions!A:A,0))-1),MIN(11-1,INDEX(Assumptions!B:B,MATCH("Margin convergence",Assumptions!A:A,0)))/INDEX(Assumptions!B:B,MATCH("Margin convergence",Assumptions!A:A,0)))*(INDEX(Assumptions!B:B,MATCH("Stable net profit margin",Assumptions!A:A,0))-INDEX(Assumptions!B:B,MATCH("FY+1 net profit margin",Assumptions!A:A,0))))))</f>
      </c>
      <c r="N9" s="25">
        <f>=IF(12&gt;INDEX(Assumptions!B:B,MATCH("Years to stability",Assumptions!A:A,0))+1,"",IF(INDEX(Assumptions!B:B,MATCH("Margin convergence",Assumptions!A:A,0))=0,INDEX(Assumptions!B:B,MATCH("FY+1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margin",Assumptions!A:A,0))),IF(12-1&gt;=INDEX(Assumptions!B:B,MATCH("Margin convergence",Assumptions!A:A,0)),INDEX(Assumptions!B:B,MATCH("Stable net profit margin",Assumptions!A:A,0)),INDEX(Assumptions!B:B,MATCH("FY+1 net profit margin",Assumptions!A:A,0))+IF(INDEX(Assumptions!B:B,MATCH("Margin convergence",Assumptions!A:A,0))=0,(12-1)/(INDEX(Assumptions!B:B,MATCH("Years to stability",Assumptions!A:A,0))-1),MIN(12-1,INDEX(Assumptions!B:B,MATCH("Margin convergence",Assumptions!A:A,0)))/INDEX(Assumptions!B:B,MATCH("Margin convergence",Assumptions!A:A,0)))*(INDEX(Assumptions!B:B,MATCH("Stable net profit margin",Assumptions!A:A,0))-INDEX(Assumptions!B:B,MATCH("FY+1 net profit margin",Assumptions!A:A,0))))))</f>
      </c>
      <c r="O9" s="25">
        <f>=IF(13&gt;INDEX(Assumptions!B:B,MATCH("Years to stability",Assumptions!A:A,0))+1,"",IF(INDEX(Assumptions!B:B,MATCH("Margin convergence",Assumptions!A:A,0))=0,INDEX(Assumptions!B:B,MATCH("FY+1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margin",Assumptions!A:A,0))),IF(13-1&gt;=INDEX(Assumptions!B:B,MATCH("Margin convergence",Assumptions!A:A,0)),INDEX(Assumptions!B:B,MATCH("Stable net profit margin",Assumptions!A:A,0)),INDEX(Assumptions!B:B,MATCH("FY+1 net profit margin",Assumptions!A:A,0))+IF(INDEX(Assumptions!B:B,MATCH("Margin convergence",Assumptions!A:A,0))=0,(13-1)/(INDEX(Assumptions!B:B,MATCH("Years to stability",Assumptions!A:A,0))-1),MIN(13-1,INDEX(Assumptions!B:B,MATCH("Margin convergence",Assumptions!A:A,0)))/INDEX(Assumptions!B:B,MATCH("Margin convergence",Assumptions!A:A,0)))*(INDEX(Assumptions!B:B,MATCH("Stable net profit margin",Assumptions!A:A,0))-INDEX(Assumptions!B:B,MATCH("FY+1 net profit margin",Assumptions!A:A,0))))))</f>
      </c>
      <c r="P9" s="25">
        <f>=IF(14&gt;INDEX(Assumptions!B:B,MATCH("Years to stability",Assumptions!A:A,0))+1,"",IF(INDEX(Assumptions!B:B,MATCH("Margin convergence",Assumptions!A:A,0))=0,INDEX(Assumptions!B:B,MATCH("FY+1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margin",Assumptions!A:A,0))),IF(14-1&gt;=INDEX(Assumptions!B:B,MATCH("Margin convergence",Assumptions!A:A,0)),INDEX(Assumptions!B:B,MATCH("Stable net profit margin",Assumptions!A:A,0)),INDEX(Assumptions!B:B,MATCH("FY+1 net profit margin",Assumptions!A:A,0))+IF(INDEX(Assumptions!B:B,MATCH("Margin convergence",Assumptions!A:A,0))=0,(14-1)/(INDEX(Assumptions!B:B,MATCH("Years to stability",Assumptions!A:A,0))-1),MIN(14-1,INDEX(Assumptions!B:B,MATCH("Margin convergence",Assumptions!A:A,0)))/INDEX(Assumptions!B:B,MATCH("Margin convergence",Assumptions!A:A,0)))*(INDEX(Assumptions!B:B,MATCH("Stable net profit margin",Assumptions!A:A,0))-INDEX(Assumptions!B:B,MATCH("FY+1 net profit margin",Assumptions!A:A,0))))))</f>
      </c>
      <c r="Q9" s="25">
        <f>=IF(15&gt;INDEX(Assumptions!B:B,MATCH("Years to stability",Assumptions!A:A,0))+1,"",IF(INDEX(Assumptions!B:B,MATCH("Margin convergence",Assumptions!A:A,0))=0,INDEX(Assumptions!B:B,MATCH("FY+1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margin",Assumptions!A:A,0))),IF(15-1&gt;=INDEX(Assumptions!B:B,MATCH("Margin convergence",Assumptions!A:A,0)),INDEX(Assumptions!B:B,MATCH("Stable net profit margin",Assumptions!A:A,0)),INDEX(Assumptions!B:B,MATCH("FY+1 net profit margin",Assumptions!A:A,0))+IF(INDEX(Assumptions!B:B,MATCH("Margin convergence",Assumptions!A:A,0))=0,(15-1)/(INDEX(Assumptions!B:B,MATCH("Years to stability",Assumptions!A:A,0))-1),MIN(15-1,INDEX(Assumptions!B:B,MATCH("Margin convergence",Assumptions!A:A,0)))/INDEX(Assumptions!B:B,MATCH("Margin convergence",Assumptions!A:A,0)))*(INDEX(Assumptions!B:B,MATCH("Stable net profit margin",Assumptions!A:A,0))-INDEX(Assumptions!B:B,MATCH("FY+1 net profit margin",Assumptions!A:A,0))))))</f>
      </c>
      <c r="R9" s="25">
        <f>=IF(16&gt;INDEX(Assumptions!B:B,MATCH("Years to stability",Assumptions!A:A,0))+1,"",IF(INDEX(Assumptions!B:B,MATCH("Margin convergence",Assumptions!A:A,0))=0,INDEX(Assumptions!B:B,MATCH("FY+1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margin",Assumptions!A:A,0))),IF(16-1&gt;=INDEX(Assumptions!B:B,MATCH("Margin convergence",Assumptions!A:A,0)),INDEX(Assumptions!B:B,MATCH("Stable net profit margin",Assumptions!A:A,0)),INDEX(Assumptions!B:B,MATCH("FY+1 net profit margin",Assumptions!A:A,0))+IF(INDEX(Assumptions!B:B,MATCH("Margin convergence",Assumptions!A:A,0))=0,(16-1)/(INDEX(Assumptions!B:B,MATCH("Years to stability",Assumptions!A:A,0))-1),MIN(16-1,INDEX(Assumptions!B:B,MATCH("Margin convergence",Assumptions!A:A,0)))/INDEX(Assumptions!B:B,MATCH("Margin convergence",Assumptions!A:A,0)))*(INDEX(Assumptions!B:B,MATCH("Stable net profit margin",Assumptions!A:A,0))-INDEX(Assumptions!B:B,MATCH("FY+1 net profit margin",Assumptions!A:A,0))))))</f>
      </c>
      <c r="S9" s="25">
        <f>=IF(17&gt;INDEX(Assumptions!B:B,MATCH("Years to stability",Assumptions!A:A,0))+1,"",IF(INDEX(Assumptions!B:B,MATCH("Margin convergence",Assumptions!A:A,0))=0,INDEX(Assumptions!B:B,MATCH("FY+1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margin",Assumptions!A:A,0))),IF(17-1&gt;=INDEX(Assumptions!B:B,MATCH("Margin convergence",Assumptions!A:A,0)),INDEX(Assumptions!B:B,MATCH("Stable net profit margin",Assumptions!A:A,0)),INDEX(Assumptions!B:B,MATCH("FY+1 net profit margin",Assumptions!A:A,0))+IF(INDEX(Assumptions!B:B,MATCH("Margin convergence",Assumptions!A:A,0))=0,(17-1)/(INDEX(Assumptions!B:B,MATCH("Years to stability",Assumptions!A:A,0))-1),MIN(17-1,INDEX(Assumptions!B:B,MATCH("Margin convergence",Assumptions!A:A,0)))/INDEX(Assumptions!B:B,MATCH("Margin convergence",Assumptions!A:A,0)))*(INDEX(Assumptions!B:B,MATCH("Stable net profit margin",Assumptions!A:A,0))-INDEX(Assumptions!B:B,MATCH("FY+1 net profit margin",Assumptions!A:A,0))))))</f>
      </c>
      <c r="T9" s="25">
        <f>=IF(18&gt;INDEX(Assumptions!B:B,MATCH("Years to stability",Assumptions!A:A,0))+1,"",IF(INDEX(Assumptions!B:B,MATCH("Margin convergence",Assumptions!A:A,0))=0,INDEX(Assumptions!B:B,MATCH("FY+1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margin",Assumptions!A:A,0))),IF(18-1&gt;=INDEX(Assumptions!B:B,MATCH("Margin convergence",Assumptions!A:A,0)),INDEX(Assumptions!B:B,MATCH("Stable net profit margin",Assumptions!A:A,0)),INDEX(Assumptions!B:B,MATCH("FY+1 net profit margin",Assumptions!A:A,0))+IF(INDEX(Assumptions!B:B,MATCH("Margin convergence",Assumptions!A:A,0))=0,(18-1)/(INDEX(Assumptions!B:B,MATCH("Years to stability",Assumptions!A:A,0))-1),MIN(18-1,INDEX(Assumptions!B:B,MATCH("Margin convergence",Assumptions!A:A,0)))/INDEX(Assumptions!B:B,MATCH("Margin convergence",Assumptions!A:A,0)))*(INDEX(Assumptions!B:B,MATCH("Stable net profit margin",Assumptions!A:A,0))-INDEX(Assumptions!B:B,MATCH("FY+1 net profit margin",Assumptions!A:A,0))))))</f>
      </c>
      <c r="U9" s="25">
        <f>=IF(19&gt;INDEX(Assumptions!B:B,MATCH("Years to stability",Assumptions!A:A,0))+1,"",IF(INDEX(Assumptions!B:B,MATCH("Margin convergence",Assumptions!A:A,0))=0,INDEX(Assumptions!B:B,MATCH("FY+1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margin",Assumptions!A:A,0))),IF(19-1&gt;=INDEX(Assumptions!B:B,MATCH("Margin convergence",Assumptions!A:A,0)),INDEX(Assumptions!B:B,MATCH("Stable net profit margin",Assumptions!A:A,0)),INDEX(Assumptions!B:B,MATCH("FY+1 net profit margin",Assumptions!A:A,0))+IF(INDEX(Assumptions!B:B,MATCH("Margin convergence",Assumptions!A:A,0))=0,(19-1)/(INDEX(Assumptions!B:B,MATCH("Years to stability",Assumptions!A:A,0))-1),MIN(19-1,INDEX(Assumptions!B:B,MATCH("Margin convergence",Assumptions!A:A,0)))/INDEX(Assumptions!B:B,MATCH("Margin convergence",Assumptions!A:A,0)))*(INDEX(Assumptions!B:B,MATCH("Stable net profit margin",Assumptions!A:A,0))-INDEX(Assumptions!B:B,MATCH("FY+1 net profit margin",Assumptions!A:A,0))))))</f>
      </c>
      <c r="V9" s="25">
        <f>=IF(20&gt;INDEX(Assumptions!B:B,MATCH("Years to stability",Assumptions!A:A,0))+1,"",IF(INDEX(Assumptions!B:B,MATCH("Margin convergence",Assumptions!A:A,0))=0,INDEX(Assumptions!B:B,MATCH("FY+1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margin",Assumptions!A:A,0))),IF(20-1&gt;=INDEX(Assumptions!B:B,MATCH("Margin convergence",Assumptions!A:A,0)),INDEX(Assumptions!B:B,MATCH("Stable net profit margin",Assumptions!A:A,0)),INDEX(Assumptions!B:B,MATCH("FY+1 net profit margin",Assumptions!A:A,0))+IF(INDEX(Assumptions!B:B,MATCH("Margin convergence",Assumptions!A:A,0))=0,(20-1)/(INDEX(Assumptions!B:B,MATCH("Years to stability",Assumptions!A:A,0))-1),MIN(20-1,INDEX(Assumptions!B:B,MATCH("Margin convergence",Assumptions!A:A,0)))/INDEX(Assumptions!B:B,MATCH("Margin convergence",Assumptions!A:A,0)))*(INDEX(Assumptions!B:B,MATCH("Stable net profit margin",Assumptions!A:A,0))-INDEX(Assumptions!B:B,MATCH("FY+1 net profit margin",Assumptions!A:A,0))))))</f>
      </c>
      <c r="W9" s="25">
        <f>=IF(21&gt;INDEX(Assumptions!B:B,MATCH("Years to stability",Assumptions!A:A,0))+1,"",IF(INDEX(Assumptions!B:B,MATCH("Margin convergence",Assumptions!A:A,0))=0,INDEX(Assumptions!B:B,MATCH("FY+1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margin",Assumptions!A:A,0))),IF(21-1&gt;=INDEX(Assumptions!B:B,MATCH("Margin convergence",Assumptions!A:A,0)),INDEX(Assumptions!B:B,MATCH("Stable net profit margin",Assumptions!A:A,0)),INDEX(Assumptions!B:B,MATCH("FY+1 net profit margin",Assumptions!A:A,0))+IF(INDEX(Assumptions!B:B,MATCH("Margin convergence",Assumptions!A:A,0))=0,(21-1)/(INDEX(Assumptions!B:B,MATCH("Years to stability",Assumptions!A:A,0))-1),MIN(21-1,INDEX(Assumptions!B:B,MATCH("Margin convergence",Assumptions!A:A,0)))/INDEX(Assumptions!B:B,MATCH("Margin convergence",Assumptions!A:A,0)))*(INDEX(Assumptions!B:B,MATCH("Stable net profit margin",Assumptions!A:A,0))-INDEX(Assumptions!B:B,MATCH("FY+1 net profit margin",Assumptions!A:A,0))))))</f>
      </c>
    </row>
    <row r="10" spans="1:23" x14ac:dyDescent="0.25">
      <c r="A10" s="11" t="s">
        <v>69</v>
      </c>
      <c r="B10" s="24">
        <f>=INDEX(Financials!B:B,MATCH("Reinvestment",Financials!A:A,0))</f>
      </c>
      <c r="C10" s="24">
        <f>=IF(1&lt;=INDEX(Assumptions!B:B,MATCH("Years to stability",Assumptions!A:A,0))+1,IF(1=INDEX(Assumptions!B:B,MATCH("Years to stability",Assumptions!A:A,0))+1,C8*INDEX(Assumptions!B:B,MATCH("Stable growth rate",Assumptions!A:A,0))/INDEX(Assumptions!B:B,MATCH("Stable ROE",Assumptions!A:A,0)),(C5-B5)/INDEX(Assumptions!B:B,MATCH("Sales-to-equity ratio",Assumptions!A:A,0))),"")</f>
      </c>
      <c r="D10" s="24">
        <f>=IF(2&lt;=INDEX(Assumptions!B:B,MATCH("Years to stability",Assumptions!A:A,0))+1,IF(2=INDEX(Assumptions!B:B,MATCH("Years to stability",Assumptions!A:A,0))+1,D8*INDEX(Assumptions!B:B,MATCH("Stable growth rate",Assumptions!A:A,0))/INDEX(Assumptions!B:B,MATCH("Stable ROE",Assumptions!A:A,0)),(D5-C5)/INDEX(Assumptions!B:B,MATCH("Sales-to-equity ratio",Assumptions!A:A,0))),"")</f>
      </c>
      <c r="E10" s="24">
        <f>=IF(3&lt;=INDEX(Assumptions!B:B,MATCH("Years to stability",Assumptions!A:A,0))+1,IF(3=INDEX(Assumptions!B:B,MATCH("Years to stability",Assumptions!A:A,0))+1,E8*INDEX(Assumptions!B:B,MATCH("Stable growth rate",Assumptions!A:A,0))/INDEX(Assumptions!B:B,MATCH("Stable ROE",Assumptions!A:A,0)),(E5-D5)/INDEX(Assumptions!B:B,MATCH("Sales-to-equity ratio",Assumptions!A:A,0))),"")</f>
      </c>
      <c r="F10" s="24">
        <f>=IF(4&lt;=INDEX(Assumptions!B:B,MATCH("Years to stability",Assumptions!A:A,0))+1,IF(4=INDEX(Assumptions!B:B,MATCH("Years to stability",Assumptions!A:A,0))+1,F8*INDEX(Assumptions!B:B,MATCH("Stable growth rate",Assumptions!A:A,0))/INDEX(Assumptions!B:B,MATCH("Stable ROE",Assumptions!A:A,0)),(F5-E5)/INDEX(Assumptions!B:B,MATCH("Sales-to-equity ratio",Assumptions!A:A,0))),"")</f>
      </c>
      <c r="G10" s="24">
        <f>=IF(5&lt;=INDEX(Assumptions!B:B,MATCH("Years to stability",Assumptions!A:A,0))+1,IF(5=INDEX(Assumptions!B:B,MATCH("Years to stability",Assumptions!A:A,0))+1,G8*INDEX(Assumptions!B:B,MATCH("Stable growth rate",Assumptions!A:A,0))/INDEX(Assumptions!B:B,MATCH("Stable ROE",Assumptions!A:A,0)),(G5-F5)/INDEX(Assumptions!B:B,MATCH("Sales-to-equity ratio",Assumptions!A:A,0))),"")</f>
      </c>
      <c r="H10" s="24">
        <f>=IF(6&lt;=INDEX(Assumptions!B:B,MATCH("Years to stability",Assumptions!A:A,0))+1,IF(6=INDEX(Assumptions!B:B,MATCH("Years to stability",Assumptions!A:A,0))+1,H8*INDEX(Assumptions!B:B,MATCH("Stable growth rate",Assumptions!A:A,0))/INDEX(Assumptions!B:B,MATCH("Stable ROE",Assumptions!A:A,0)),(H5-G5)/INDEX(Assumptions!B:B,MATCH("Sales-to-equity ratio",Assumptions!A:A,0))),"")</f>
      </c>
      <c r="I10" s="24">
        <f>=IF(7&lt;=INDEX(Assumptions!B:B,MATCH("Years to stability",Assumptions!A:A,0))+1,IF(7=INDEX(Assumptions!B:B,MATCH("Years to stability",Assumptions!A:A,0))+1,I8*INDEX(Assumptions!B:B,MATCH("Stable growth rate",Assumptions!A:A,0))/INDEX(Assumptions!B:B,MATCH("Stable ROE",Assumptions!A:A,0)),(I5-H5)/INDEX(Assumptions!B:B,MATCH("Sales-to-equity ratio",Assumptions!A:A,0))),"")</f>
      </c>
      <c r="J10" s="24">
        <f>=IF(8&lt;=INDEX(Assumptions!B:B,MATCH("Years to stability",Assumptions!A:A,0))+1,IF(8=INDEX(Assumptions!B:B,MATCH("Years to stability",Assumptions!A:A,0))+1,J8*INDEX(Assumptions!B:B,MATCH("Stable growth rate",Assumptions!A:A,0))/INDEX(Assumptions!B:B,MATCH("Stable ROE",Assumptions!A:A,0)),(J5-I5)/INDEX(Assumptions!B:B,MATCH("Sales-to-equity ratio",Assumptions!A:A,0))),"")</f>
      </c>
      <c r="K10" s="24">
        <f>=IF(9&lt;=INDEX(Assumptions!B:B,MATCH("Years to stability",Assumptions!A:A,0))+1,IF(9=INDEX(Assumptions!B:B,MATCH("Years to stability",Assumptions!A:A,0))+1,K8*INDEX(Assumptions!B:B,MATCH("Stable growth rate",Assumptions!A:A,0))/INDEX(Assumptions!B:B,MATCH("Stable ROE",Assumptions!A:A,0)),(K5-J5)/INDEX(Assumptions!B:B,MATCH("Sales-to-equity ratio",Assumptions!A:A,0))),"")</f>
      </c>
      <c r="L10" s="24">
        <f>=IF(10&lt;=INDEX(Assumptions!B:B,MATCH("Years to stability",Assumptions!A:A,0))+1,IF(10=INDEX(Assumptions!B:B,MATCH("Years to stability",Assumptions!A:A,0))+1,L8*INDEX(Assumptions!B:B,MATCH("Stable growth rate",Assumptions!A:A,0))/INDEX(Assumptions!B:B,MATCH("Stable ROE",Assumptions!A:A,0)),(L5-K5)/INDEX(Assumptions!B:B,MATCH("Sales-to-equity ratio",Assumptions!A:A,0))),"")</f>
      </c>
      <c r="M10" s="24">
        <f>=IF(11&lt;=INDEX(Assumptions!B:B,MATCH("Years to stability",Assumptions!A:A,0))+1,IF(11=INDEX(Assumptions!B:B,MATCH("Years to stability",Assumptions!A:A,0))+1,M8*INDEX(Assumptions!B:B,MATCH("Stable growth rate",Assumptions!A:A,0))/INDEX(Assumptions!B:B,MATCH("Stable ROE",Assumptions!A:A,0)),(M5-L5)/INDEX(Assumptions!B:B,MATCH("Sales-to-equity ratio",Assumptions!A:A,0))),"")</f>
      </c>
      <c r="N10" s="24">
        <f>=IF(12&lt;=INDEX(Assumptions!B:B,MATCH("Years to stability",Assumptions!A:A,0))+1,IF(12=INDEX(Assumptions!B:B,MATCH("Years to stability",Assumptions!A:A,0))+1,N8*INDEX(Assumptions!B:B,MATCH("Stable growth rate",Assumptions!A:A,0))/INDEX(Assumptions!B:B,MATCH("Stable ROE",Assumptions!A:A,0)),(N5-M5)/INDEX(Assumptions!B:B,MATCH("Sales-to-equity ratio",Assumptions!A:A,0))),"")</f>
      </c>
      <c r="O10" s="24">
        <f>=IF(13&lt;=INDEX(Assumptions!B:B,MATCH("Years to stability",Assumptions!A:A,0))+1,IF(13=INDEX(Assumptions!B:B,MATCH("Years to stability",Assumptions!A:A,0))+1,O8*INDEX(Assumptions!B:B,MATCH("Stable growth rate",Assumptions!A:A,0))/INDEX(Assumptions!B:B,MATCH("Stable ROE",Assumptions!A:A,0)),(O5-N5)/INDEX(Assumptions!B:B,MATCH("Sales-to-equity ratio",Assumptions!A:A,0))),"")</f>
      </c>
      <c r="P10" s="24">
        <f>=IF(14&lt;=INDEX(Assumptions!B:B,MATCH("Years to stability",Assumptions!A:A,0))+1,IF(14=INDEX(Assumptions!B:B,MATCH("Years to stability",Assumptions!A:A,0))+1,P8*INDEX(Assumptions!B:B,MATCH("Stable growth rate",Assumptions!A:A,0))/INDEX(Assumptions!B:B,MATCH("Stable ROE",Assumptions!A:A,0)),(P5-O5)/INDEX(Assumptions!B:B,MATCH("Sales-to-equity ratio",Assumptions!A:A,0))),"")</f>
      </c>
      <c r="Q10" s="24">
        <f>=IF(15&lt;=INDEX(Assumptions!B:B,MATCH("Years to stability",Assumptions!A:A,0))+1,IF(15=INDEX(Assumptions!B:B,MATCH("Years to stability",Assumptions!A:A,0))+1,Q8*INDEX(Assumptions!B:B,MATCH("Stable growth rate",Assumptions!A:A,0))/INDEX(Assumptions!B:B,MATCH("Stable ROE",Assumptions!A:A,0)),(Q5-P5)/INDEX(Assumptions!B:B,MATCH("Sales-to-equity ratio",Assumptions!A:A,0))),"")</f>
      </c>
      <c r="R10" s="24">
        <f>=IF(16&lt;=INDEX(Assumptions!B:B,MATCH("Years to stability",Assumptions!A:A,0))+1,IF(16=INDEX(Assumptions!B:B,MATCH("Years to stability",Assumptions!A:A,0))+1,R8*INDEX(Assumptions!B:B,MATCH("Stable growth rate",Assumptions!A:A,0))/INDEX(Assumptions!B:B,MATCH("Stable ROE",Assumptions!A:A,0)),(R5-Q5)/INDEX(Assumptions!B:B,MATCH("Sales-to-equity ratio",Assumptions!A:A,0))),"")</f>
      </c>
      <c r="S10" s="24">
        <f>=IF(17&lt;=INDEX(Assumptions!B:B,MATCH("Years to stability",Assumptions!A:A,0))+1,IF(17=INDEX(Assumptions!B:B,MATCH("Years to stability",Assumptions!A:A,0))+1,S8*INDEX(Assumptions!B:B,MATCH("Stable growth rate",Assumptions!A:A,0))/INDEX(Assumptions!B:B,MATCH("Stable ROE",Assumptions!A:A,0)),(S5-R5)/INDEX(Assumptions!B:B,MATCH("Sales-to-equity ratio",Assumptions!A:A,0))),"")</f>
      </c>
      <c r="T10" s="24">
        <f>=IF(18&lt;=INDEX(Assumptions!B:B,MATCH("Years to stability",Assumptions!A:A,0))+1,IF(18=INDEX(Assumptions!B:B,MATCH("Years to stability",Assumptions!A:A,0))+1,T8*INDEX(Assumptions!B:B,MATCH("Stable growth rate",Assumptions!A:A,0))/INDEX(Assumptions!B:B,MATCH("Stable ROE",Assumptions!A:A,0)),(T5-S5)/INDEX(Assumptions!B:B,MATCH("Sales-to-equity ratio",Assumptions!A:A,0))),"")</f>
      </c>
      <c r="U10" s="24">
        <f>=IF(19&lt;=INDEX(Assumptions!B:B,MATCH("Years to stability",Assumptions!A:A,0))+1,IF(19=INDEX(Assumptions!B:B,MATCH("Years to stability",Assumptions!A:A,0))+1,U8*INDEX(Assumptions!B:B,MATCH("Stable growth rate",Assumptions!A:A,0))/INDEX(Assumptions!B:B,MATCH("Stable ROE",Assumptions!A:A,0)),(U5-T5)/INDEX(Assumptions!B:B,MATCH("Sales-to-equity ratio",Assumptions!A:A,0))),"")</f>
      </c>
      <c r="V10" s="24">
        <f>=IF(20&lt;=INDEX(Assumptions!B:B,MATCH("Years to stability",Assumptions!A:A,0))+1,IF(20=INDEX(Assumptions!B:B,MATCH("Years to stability",Assumptions!A:A,0))+1,V8*INDEX(Assumptions!B:B,MATCH("Stable growth rate",Assumptions!A:A,0))/INDEX(Assumptions!B:B,MATCH("Stable ROE",Assumptions!A:A,0)),(V5-U5)/INDEX(Assumptions!B:B,MATCH("Sales-to-equity ratio",Assumptions!A:A,0))),"")</f>
      </c>
      <c r="W10" s="24">
        <f>=IF(21&lt;=INDEX(Assumptions!B:B,MATCH("Years to stability",Assumptions!A:A,0))+1,IF(21=INDEX(Assumptions!B:B,MATCH("Years to stability",Assumptions!A:A,0))+1,W8*INDEX(Assumptions!B:B,MATCH("Stable growth rate",Assumptions!A:A,0))/INDEX(Assumptions!B:B,MATCH("Stable ROE",Assumptions!A:A,0)),(W5-V5)/INDEX(Assumptions!B:B,MATCH("Sales-to-equity ratio",Assumptions!A:A,0))),"")</f>
      </c>
    </row>
    <row r="11" spans="1:23" x14ac:dyDescent="0.25">
      <c r="A11" s="11" t="s">
        <v>70</v>
      </c>
      <c r="B11" s="24">
        <f>=INDEX(Financials!B:B,MATCH("Adjusted Equity",Financials!A:A,0))</f>
      </c>
      <c r="C11" s="24">
        <f>=IF(1&lt;=INDEX(Assumptions!B:B,MATCH("Years to stability",Assumptions!A:A,0))+1,B11+C10,"")</f>
      </c>
      <c r="D11" s="24">
        <f>=IF(2&lt;=INDEX(Assumptions!B:B,MATCH("Years to stability",Assumptions!A:A,0))+1,C11+D10,"")</f>
      </c>
      <c r="E11" s="24">
        <f>=IF(3&lt;=INDEX(Assumptions!B:B,MATCH("Years to stability",Assumptions!A:A,0))+1,D11+E10,"")</f>
      </c>
      <c r="F11" s="24">
        <f>=IF(4&lt;=INDEX(Assumptions!B:B,MATCH("Years to stability",Assumptions!A:A,0))+1,E11+F10,"")</f>
      </c>
      <c r="G11" s="24">
        <f>=IF(5&lt;=INDEX(Assumptions!B:B,MATCH("Years to stability",Assumptions!A:A,0))+1,F11+G10,"")</f>
      </c>
      <c r="H11" s="24">
        <f>=IF(6&lt;=INDEX(Assumptions!B:B,MATCH("Years to stability",Assumptions!A:A,0))+1,G11+H10,"")</f>
      </c>
      <c r="I11" s="24">
        <f>=IF(7&lt;=INDEX(Assumptions!B:B,MATCH("Years to stability",Assumptions!A:A,0))+1,H11+I10,"")</f>
      </c>
      <c r="J11" s="24">
        <f>=IF(8&lt;=INDEX(Assumptions!B:B,MATCH("Years to stability",Assumptions!A:A,0))+1,I11+J10,"")</f>
      </c>
      <c r="K11" s="24">
        <f>=IF(9&lt;=INDEX(Assumptions!B:B,MATCH("Years to stability",Assumptions!A:A,0))+1,J11+K10,"")</f>
      </c>
      <c r="L11" s="24">
        <f>=IF(10&lt;=INDEX(Assumptions!B:B,MATCH("Years to stability",Assumptions!A:A,0))+1,K11+L10,"")</f>
      </c>
      <c r="M11" s="24">
        <f>=IF(11&lt;=INDEX(Assumptions!B:B,MATCH("Years to stability",Assumptions!A:A,0))+1,L11+M10,"")</f>
      </c>
      <c r="N11" s="24">
        <f>=IF(12&lt;=INDEX(Assumptions!B:B,MATCH("Years to stability",Assumptions!A:A,0))+1,M11+N10,"")</f>
      </c>
      <c r="O11" s="24">
        <f>=IF(13&lt;=INDEX(Assumptions!B:B,MATCH("Years to stability",Assumptions!A:A,0))+1,N11+O10,"")</f>
      </c>
      <c r="P11" s="24">
        <f>=IF(14&lt;=INDEX(Assumptions!B:B,MATCH("Years to stability",Assumptions!A:A,0))+1,O11+P10,"")</f>
      </c>
      <c r="Q11" s="24">
        <f>=IF(15&lt;=INDEX(Assumptions!B:B,MATCH("Years to stability",Assumptions!A:A,0))+1,P11+Q10,"")</f>
      </c>
      <c r="R11" s="24">
        <f>=IF(16&lt;=INDEX(Assumptions!B:B,MATCH("Years to stability",Assumptions!A:A,0))+1,Q11+R10,"")</f>
      </c>
      <c r="S11" s="24">
        <f>=IF(17&lt;=INDEX(Assumptions!B:B,MATCH("Years to stability",Assumptions!A:A,0))+1,R11+S10,"")</f>
      </c>
      <c r="T11" s="24">
        <f>=IF(18&lt;=INDEX(Assumptions!B:B,MATCH("Years to stability",Assumptions!A:A,0))+1,S11+T10,"")</f>
      </c>
      <c r="U11" s="24">
        <f>=IF(19&lt;=INDEX(Assumptions!B:B,MATCH("Years to stability",Assumptions!A:A,0))+1,T11+U10,"")</f>
      </c>
      <c r="V11" s="24">
        <f>=IF(20&lt;=INDEX(Assumptions!B:B,MATCH("Years to stability",Assumptions!A:A,0))+1,U11+V10,"")</f>
      </c>
      <c r="W11" s="24">
        <f>=IF(21&lt;=INDEX(Assumptions!B:B,MATCH("Years to stability",Assumptions!A:A,0))+1,V11+W10,"")</f>
      </c>
    </row>
    <row r="12" spans="1:23" x14ac:dyDescent="0.25">
      <c r="A12" s="11" t="s">
        <v>71</v>
      </c>
      <c r="B12" s="25">
        <f>=B8/B11</f>
      </c>
      <c r="C12" s="25">
        <f>=IF(1&gt;INDEX(Assumptions!B:B,MATCH("Years to stability",Assumptions!A:A,0))+1,"",IF(1=INDEX(Assumptions!B:B,MATCH("Years to stability",Assumptions!A:A,0))+1,INDEX(Assumptions!B:B,MATCH("Stable ROE",Assumptions!A:A,0)),C8/C11))</f>
      </c>
      <c r="D12" s="25">
        <f>=IF(2&gt;INDEX(Assumptions!B:B,MATCH("Years to stability",Assumptions!A:A,0))+1,"",IF(2=INDEX(Assumptions!B:B,MATCH("Years to stability",Assumptions!A:A,0))+1,INDEX(Assumptions!B:B,MATCH("Stable ROE",Assumptions!A:A,0)),D8/D11))</f>
      </c>
      <c r="E12" s="25">
        <f>=IF(3&gt;INDEX(Assumptions!B:B,MATCH("Years to stability",Assumptions!A:A,0))+1,"",IF(3=INDEX(Assumptions!B:B,MATCH("Years to stability",Assumptions!A:A,0))+1,INDEX(Assumptions!B:B,MATCH("Stable ROE",Assumptions!A:A,0)),E8/E11))</f>
      </c>
      <c r="F12" s="25">
        <f>=IF(4&gt;INDEX(Assumptions!B:B,MATCH("Years to stability",Assumptions!A:A,0))+1,"",IF(4=INDEX(Assumptions!B:B,MATCH("Years to stability",Assumptions!A:A,0))+1,INDEX(Assumptions!B:B,MATCH("Stable ROE",Assumptions!A:A,0)),F8/F11))</f>
      </c>
      <c r="G12" s="25">
        <f>=IF(5&gt;INDEX(Assumptions!B:B,MATCH("Years to stability",Assumptions!A:A,0))+1,"",IF(5=INDEX(Assumptions!B:B,MATCH("Years to stability",Assumptions!A:A,0))+1,INDEX(Assumptions!B:B,MATCH("Stable ROE",Assumptions!A:A,0)),G8/G11))</f>
      </c>
      <c r="H12" s="25">
        <f>=IF(6&gt;INDEX(Assumptions!B:B,MATCH("Years to stability",Assumptions!A:A,0))+1,"",IF(6=INDEX(Assumptions!B:B,MATCH("Years to stability",Assumptions!A:A,0))+1,INDEX(Assumptions!B:B,MATCH("Stable ROE",Assumptions!A:A,0)),H8/H11))</f>
      </c>
      <c r="I12" s="25">
        <f>=IF(7&gt;INDEX(Assumptions!B:B,MATCH("Years to stability",Assumptions!A:A,0))+1,"",IF(7=INDEX(Assumptions!B:B,MATCH("Years to stability",Assumptions!A:A,0))+1,INDEX(Assumptions!B:B,MATCH("Stable ROE",Assumptions!A:A,0)),I8/I11))</f>
      </c>
      <c r="J12" s="25">
        <f>=IF(8&gt;INDEX(Assumptions!B:B,MATCH("Years to stability",Assumptions!A:A,0))+1,"",IF(8=INDEX(Assumptions!B:B,MATCH("Years to stability",Assumptions!A:A,0))+1,INDEX(Assumptions!B:B,MATCH("Stable ROE",Assumptions!A:A,0)),J8/J11))</f>
      </c>
      <c r="K12" s="25">
        <f>=IF(9&gt;INDEX(Assumptions!B:B,MATCH("Years to stability",Assumptions!A:A,0))+1,"",IF(9=INDEX(Assumptions!B:B,MATCH("Years to stability",Assumptions!A:A,0))+1,INDEX(Assumptions!B:B,MATCH("Stable ROE",Assumptions!A:A,0)),K8/K11))</f>
      </c>
      <c r="L12" s="25">
        <f>=IF(10&gt;INDEX(Assumptions!B:B,MATCH("Years to stability",Assumptions!A:A,0))+1,"",IF(10=INDEX(Assumptions!B:B,MATCH("Years to stability",Assumptions!A:A,0))+1,INDEX(Assumptions!B:B,MATCH("Stable ROE",Assumptions!A:A,0)),L8/L11))</f>
      </c>
      <c r="M12" s="25">
        <f>=IF(11&gt;INDEX(Assumptions!B:B,MATCH("Years to stability",Assumptions!A:A,0))+1,"",IF(11=INDEX(Assumptions!B:B,MATCH("Years to stability",Assumptions!A:A,0))+1,INDEX(Assumptions!B:B,MATCH("Stable ROE",Assumptions!A:A,0)),M8/M11))</f>
      </c>
      <c r="N12" s="25">
        <f>=IF(12&gt;INDEX(Assumptions!B:B,MATCH("Years to stability",Assumptions!A:A,0))+1,"",IF(12=INDEX(Assumptions!B:B,MATCH("Years to stability",Assumptions!A:A,0))+1,INDEX(Assumptions!B:B,MATCH("Stable ROE",Assumptions!A:A,0)),N8/N11))</f>
      </c>
      <c r="O12" s="25">
        <f>=IF(13&gt;INDEX(Assumptions!B:B,MATCH("Years to stability",Assumptions!A:A,0))+1,"",IF(13=INDEX(Assumptions!B:B,MATCH("Years to stability",Assumptions!A:A,0))+1,INDEX(Assumptions!B:B,MATCH("Stable ROE",Assumptions!A:A,0)),O8/O11))</f>
      </c>
      <c r="P12" s="25">
        <f>=IF(14&gt;INDEX(Assumptions!B:B,MATCH("Years to stability",Assumptions!A:A,0))+1,"",IF(14=INDEX(Assumptions!B:B,MATCH("Years to stability",Assumptions!A:A,0))+1,INDEX(Assumptions!B:B,MATCH("Stable ROE",Assumptions!A:A,0)),P8/P11))</f>
      </c>
      <c r="Q12" s="25">
        <f>=IF(15&gt;INDEX(Assumptions!B:B,MATCH("Years to stability",Assumptions!A:A,0))+1,"",IF(15=INDEX(Assumptions!B:B,MATCH("Years to stability",Assumptions!A:A,0))+1,INDEX(Assumptions!B:B,MATCH("Stable ROE",Assumptions!A:A,0)),Q8/Q11))</f>
      </c>
      <c r="R12" s="25">
        <f>=IF(16&gt;INDEX(Assumptions!B:B,MATCH("Years to stability",Assumptions!A:A,0))+1,"",IF(16=INDEX(Assumptions!B:B,MATCH("Years to stability",Assumptions!A:A,0))+1,INDEX(Assumptions!B:B,MATCH("Stable ROE",Assumptions!A:A,0)),R8/R11))</f>
      </c>
      <c r="S12" s="25">
        <f>=IF(17&gt;INDEX(Assumptions!B:B,MATCH("Years to stability",Assumptions!A:A,0))+1,"",IF(17=INDEX(Assumptions!B:B,MATCH("Years to stability",Assumptions!A:A,0))+1,INDEX(Assumptions!B:B,MATCH("Stable ROE",Assumptions!A:A,0)),S8/S11))</f>
      </c>
      <c r="T12" s="25">
        <f>=IF(18&gt;INDEX(Assumptions!B:B,MATCH("Years to stability",Assumptions!A:A,0))+1,"",IF(18=INDEX(Assumptions!B:B,MATCH("Years to stability",Assumptions!A:A,0))+1,INDEX(Assumptions!B:B,MATCH("Stable ROE",Assumptions!A:A,0)),T8/T11))</f>
      </c>
      <c r="U12" s="25">
        <f>=IF(19&gt;INDEX(Assumptions!B:B,MATCH("Years to stability",Assumptions!A:A,0))+1,"",IF(19=INDEX(Assumptions!B:B,MATCH("Years to stability",Assumptions!A:A,0))+1,INDEX(Assumptions!B:B,MATCH("Stable ROE",Assumptions!A:A,0)),U8/U11))</f>
      </c>
      <c r="V12" s="25">
        <f>=IF(20&gt;INDEX(Assumptions!B:B,MATCH("Years to stability",Assumptions!A:A,0))+1,"",IF(20=INDEX(Assumptions!B:B,MATCH("Years to stability",Assumptions!A:A,0))+1,INDEX(Assumptions!B:B,MATCH("Stable ROE",Assumptions!A:A,0)),V8/V11))</f>
      </c>
      <c r="W12" s="25">
        <f>=IF(21&gt;INDEX(Assumptions!B:B,MATCH("Years to stability",Assumptions!A:A,0))+1,"",IF(21=INDEX(Assumptions!B:B,MATCH("Years to stability",Assumptions!A:A,0))+1,INDEX(Assumptions!B:B,MATCH("Stable ROE",Assumptions!A:A,0)),W8/W11))</f>
      </c>
    </row>
    <row r="13" spans="1:23" x14ac:dyDescent="0.25">
      <c r="A13" s="11" t="s">
        <v>72</v>
      </c>
      <c r="B13" s="26">
        <f>=INDEX(Financials!B:B,MATCH("Sales to Equity Ratio",Financials!A:A,0))</f>
      </c>
      <c r="C13" s="26">
        <f>=IF(1&lt;=INDEX(Assumptions!B:B,MATCH("Years to stability",Assumptions!A:A,0))+1,INDEX(Assumptions!B:B,MATCH("Sales-to-equity ratio",Assumptions!A:A,0)),"")</f>
      </c>
      <c r="D13" s="26">
        <f>=IF(2&lt;=INDEX(Assumptions!B:B,MATCH("Years to stability",Assumptions!A:A,0))+1,INDEX(Assumptions!B:B,MATCH("Sales-to-equity ratio",Assumptions!A:A,0)),"")</f>
      </c>
      <c r="E13" s="26">
        <f>=IF(3&lt;=INDEX(Assumptions!B:B,MATCH("Years to stability",Assumptions!A:A,0))+1,INDEX(Assumptions!B:B,MATCH("Sales-to-equity ratio",Assumptions!A:A,0)),"")</f>
      </c>
      <c r="F13" s="26">
        <f>=IF(4&lt;=INDEX(Assumptions!B:B,MATCH("Years to stability",Assumptions!A:A,0))+1,INDEX(Assumptions!B:B,MATCH("Sales-to-equity ratio",Assumptions!A:A,0)),"")</f>
      </c>
      <c r="G13" s="26">
        <f>=IF(5&lt;=INDEX(Assumptions!B:B,MATCH("Years to stability",Assumptions!A:A,0))+1,INDEX(Assumptions!B:B,MATCH("Sales-to-equity ratio",Assumptions!A:A,0)),"")</f>
      </c>
      <c r="H13" s="26">
        <f>=IF(6&lt;=INDEX(Assumptions!B:B,MATCH("Years to stability",Assumptions!A:A,0))+1,INDEX(Assumptions!B:B,MATCH("Sales-to-equity ratio",Assumptions!A:A,0)),"")</f>
      </c>
      <c r="I13" s="26">
        <f>=IF(7&lt;=INDEX(Assumptions!B:B,MATCH("Years to stability",Assumptions!A:A,0))+1,INDEX(Assumptions!B:B,MATCH("Sales-to-equity ratio",Assumptions!A:A,0)),"")</f>
      </c>
      <c r="J13" s="26">
        <f>=IF(8&lt;=INDEX(Assumptions!B:B,MATCH("Years to stability",Assumptions!A:A,0))+1,INDEX(Assumptions!B:B,MATCH("Sales-to-equity ratio",Assumptions!A:A,0)),"")</f>
      </c>
      <c r="K13" s="26">
        <f>=IF(9&lt;=INDEX(Assumptions!B:B,MATCH("Years to stability",Assumptions!A:A,0))+1,INDEX(Assumptions!B:B,MATCH("Sales-to-equity ratio",Assumptions!A:A,0)),"")</f>
      </c>
      <c r="L13" s="26">
        <f>=IF(10&lt;=INDEX(Assumptions!B:B,MATCH("Years to stability",Assumptions!A:A,0))+1,INDEX(Assumptions!B:B,MATCH("Sales-to-equity ratio",Assumptions!A:A,0)),"")</f>
      </c>
      <c r="M13" s="26">
        <f>=IF(11&lt;=INDEX(Assumptions!B:B,MATCH("Years to stability",Assumptions!A:A,0))+1,INDEX(Assumptions!B:B,MATCH("Sales-to-equity ratio",Assumptions!A:A,0)),"")</f>
      </c>
      <c r="N13" s="26">
        <f>=IF(12&lt;=INDEX(Assumptions!B:B,MATCH("Years to stability",Assumptions!A:A,0))+1,INDEX(Assumptions!B:B,MATCH("Sales-to-equity ratio",Assumptions!A:A,0)),"")</f>
      </c>
      <c r="O13" s="26">
        <f>=IF(13&lt;=INDEX(Assumptions!B:B,MATCH("Years to stability",Assumptions!A:A,0))+1,INDEX(Assumptions!B:B,MATCH("Sales-to-equity ratio",Assumptions!A:A,0)),"")</f>
      </c>
      <c r="P13" s="26">
        <f>=IF(14&lt;=INDEX(Assumptions!B:B,MATCH("Years to stability",Assumptions!A:A,0))+1,INDEX(Assumptions!B:B,MATCH("Sales-to-equity ratio",Assumptions!A:A,0)),"")</f>
      </c>
      <c r="Q13" s="26">
        <f>=IF(15&lt;=INDEX(Assumptions!B:B,MATCH("Years to stability",Assumptions!A:A,0))+1,INDEX(Assumptions!B:B,MATCH("Sales-to-equity ratio",Assumptions!A:A,0)),"")</f>
      </c>
      <c r="R13" s="26">
        <f>=IF(16&lt;=INDEX(Assumptions!B:B,MATCH("Years to stability",Assumptions!A:A,0))+1,INDEX(Assumptions!B:B,MATCH("Sales-to-equity ratio",Assumptions!A:A,0)),"")</f>
      </c>
      <c r="S13" s="26">
        <f>=IF(17&lt;=INDEX(Assumptions!B:B,MATCH("Years to stability",Assumptions!A:A,0))+1,INDEX(Assumptions!B:B,MATCH("Sales-to-equity ratio",Assumptions!A:A,0)),"")</f>
      </c>
      <c r="T13" s="26">
        <f>=IF(18&lt;=INDEX(Assumptions!B:B,MATCH("Years to stability",Assumptions!A:A,0))+1,INDEX(Assumptions!B:B,MATCH("Sales-to-equity ratio",Assumptions!A:A,0)),"")</f>
      </c>
      <c r="U13" s="26">
        <f>=IF(19&lt;=INDEX(Assumptions!B:B,MATCH("Years to stability",Assumptions!A:A,0))+1,INDEX(Assumptions!B:B,MATCH("Sales-to-equity ratio",Assumptions!A:A,0)),"")</f>
      </c>
      <c r="V13" s="26">
        <f>=IF(20&lt;=INDEX(Assumptions!B:B,MATCH("Years to stability",Assumptions!A:A,0))+1,INDEX(Assumptions!B:B,MATCH("Sales-to-equity ratio",Assumptions!A:A,0)),"")</f>
      </c>
      <c r="W13" s="26">
        <f>=IF(21&lt;=INDEX(Assumptions!B:B,MATCH("Years to stability",Assumptions!A:A,0))+1,INDEX(Assumptions!B:B,MATCH("Sales-to-equity ratio",Assumptions!A:A,0)),"")</f>
      </c>
    </row>
    <row r="14" spans="1:23" x14ac:dyDescent="0.25">
      <c r="A14" s="11" t="s">
        <v>73</v>
      </c>
      <c r="B14" s="24">
        <f>=B8-B10</f>
      </c>
      <c r="C14" s="24">
        <f>=IF(1&lt;=INDEX(Assumptions!B:B,MATCH("Years to stability",Assumptions!A:A,0))+1,C8-C10,"")</f>
      </c>
      <c r="D14" s="24">
        <f>=IF(2&lt;=INDEX(Assumptions!B:B,MATCH("Years to stability",Assumptions!A:A,0))+1,D8-D10,"")</f>
      </c>
      <c r="E14" s="24">
        <f>=IF(3&lt;=INDEX(Assumptions!B:B,MATCH("Years to stability",Assumptions!A:A,0))+1,E8-E10,"")</f>
      </c>
      <c r="F14" s="24">
        <f>=IF(4&lt;=INDEX(Assumptions!B:B,MATCH("Years to stability",Assumptions!A:A,0))+1,F8-F10,"")</f>
      </c>
      <c r="G14" s="24">
        <f>=IF(5&lt;=INDEX(Assumptions!B:B,MATCH("Years to stability",Assumptions!A:A,0))+1,G8-G10,"")</f>
      </c>
      <c r="H14" s="24">
        <f>=IF(6&lt;=INDEX(Assumptions!B:B,MATCH("Years to stability",Assumptions!A:A,0))+1,H8-H10,"")</f>
      </c>
      <c r="I14" s="24">
        <f>=IF(7&lt;=INDEX(Assumptions!B:B,MATCH("Years to stability",Assumptions!A:A,0))+1,I8-I10,"")</f>
      </c>
      <c r="J14" s="24">
        <f>=IF(8&lt;=INDEX(Assumptions!B:B,MATCH("Years to stability",Assumptions!A:A,0))+1,J8-J10,"")</f>
      </c>
      <c r="K14" s="24">
        <f>=IF(9&lt;=INDEX(Assumptions!B:B,MATCH("Years to stability",Assumptions!A:A,0))+1,K8-K10,"")</f>
      </c>
      <c r="L14" s="24">
        <f>=IF(10&lt;=INDEX(Assumptions!B:B,MATCH("Years to stability",Assumptions!A:A,0))+1,L8-L10,"")</f>
      </c>
      <c r="M14" s="24">
        <f>=IF(11&lt;=INDEX(Assumptions!B:B,MATCH("Years to stability",Assumptions!A:A,0))+1,M8-M10,"")</f>
      </c>
      <c r="N14" s="24">
        <f>=IF(12&lt;=INDEX(Assumptions!B:B,MATCH("Years to stability",Assumptions!A:A,0))+1,N8-N10,"")</f>
      </c>
      <c r="O14" s="24">
        <f>=IF(13&lt;=INDEX(Assumptions!B:B,MATCH("Years to stability",Assumptions!A:A,0))+1,O8-O10,"")</f>
      </c>
      <c r="P14" s="24">
        <f>=IF(14&lt;=INDEX(Assumptions!B:B,MATCH("Years to stability",Assumptions!A:A,0))+1,P8-P10,"")</f>
      </c>
      <c r="Q14" s="24">
        <f>=IF(15&lt;=INDEX(Assumptions!B:B,MATCH("Years to stability",Assumptions!A:A,0))+1,Q8-Q10,"")</f>
      </c>
      <c r="R14" s="24">
        <f>=IF(16&lt;=INDEX(Assumptions!B:B,MATCH("Years to stability",Assumptions!A:A,0))+1,R8-R10,"")</f>
      </c>
      <c r="S14" s="24">
        <f>=IF(17&lt;=INDEX(Assumptions!B:B,MATCH("Years to stability",Assumptions!A:A,0))+1,S8-S10,"")</f>
      </c>
      <c r="T14" s="24">
        <f>=IF(18&lt;=INDEX(Assumptions!B:B,MATCH("Years to stability",Assumptions!A:A,0))+1,T8-T10,"")</f>
      </c>
      <c r="U14" s="24">
        <f>=IF(19&lt;=INDEX(Assumptions!B:B,MATCH("Years to stability",Assumptions!A:A,0))+1,U8-U10,"")</f>
      </c>
      <c r="V14" s="24">
        <f>=IF(20&lt;=INDEX(Assumptions!B:B,MATCH("Years to stability",Assumptions!A:A,0))+1,V8-V10,"")</f>
      </c>
      <c r="W14" s="24">
        <f>=IF(21&lt;=INDEX(Assumptions!B:B,MATCH("Years to stability",Assumptions!A:A,0))+1,W8-W10,"")</f>
      </c>
    </row>
    <row r="15" spans="1:23" x14ac:dyDescent="0.25">
      <c r="A15" s="11" t="s">
        <v>74</v>
      </c>
      <c r="B15" s="12"/>
      <c r="C15" s="24">
        <f>=IF(1=INDEX(Assumptions!B:B,MATCH("Years to stability",Assumptions!A:A,0))+1,C14/(LOOKUP(2,1/('Cost of equity'!A:A="Stable cost of equity"),'Cost of equity'!B:B)-INDEX(Assumptions!B:B,MATCH("Stable growth rate",Assumptions!A:A,0))),"")</f>
      </c>
      <c r="D15" s="24">
        <f>=IF(2=INDEX(Assumptions!B:B,MATCH("Years to stability",Assumptions!A:A,0))+1,D14/(LOOKUP(2,1/('Cost of equity'!A:A="Stable cost of equity"),'Cost of equity'!B:B)-INDEX(Assumptions!B:B,MATCH("Stable growth rate",Assumptions!A:A,0))),"")</f>
      </c>
      <c r="E15" s="24">
        <f>=IF(3=INDEX(Assumptions!B:B,MATCH("Years to stability",Assumptions!A:A,0))+1,E14/(LOOKUP(2,1/('Cost of equity'!A:A="Stable cost of equity"),'Cost of equity'!B:B)-INDEX(Assumptions!B:B,MATCH("Stable growth rate",Assumptions!A:A,0))),"")</f>
      </c>
      <c r="F15" s="24">
        <f>=IF(4=INDEX(Assumptions!B:B,MATCH("Years to stability",Assumptions!A:A,0))+1,F14/(LOOKUP(2,1/('Cost of equity'!A:A="Stable cost of equity"),'Cost of equity'!B:B)-INDEX(Assumptions!B:B,MATCH("Stable growth rate",Assumptions!A:A,0))),"")</f>
      </c>
      <c r="G15" s="24">
        <f>=IF(5=INDEX(Assumptions!B:B,MATCH("Years to stability",Assumptions!A:A,0))+1,G14/(LOOKUP(2,1/('Cost of equity'!A:A="Stable cost of equity"),'Cost of equity'!B:B)-INDEX(Assumptions!B:B,MATCH("Stable growth rate",Assumptions!A:A,0))),"")</f>
      </c>
      <c r="H15" s="24">
        <f>=IF(6=INDEX(Assumptions!B:B,MATCH("Years to stability",Assumptions!A:A,0))+1,H14/(LOOKUP(2,1/('Cost of equity'!A:A="Stable cost of equity"),'Cost of equity'!B:B)-INDEX(Assumptions!B:B,MATCH("Stable growth rate",Assumptions!A:A,0))),"")</f>
      </c>
      <c r="I15" s="24">
        <f>=IF(7=INDEX(Assumptions!B:B,MATCH("Years to stability",Assumptions!A:A,0))+1,I14/(LOOKUP(2,1/('Cost of equity'!A:A="Stable cost of equity"),'Cost of equity'!B:B)-INDEX(Assumptions!B:B,MATCH("Stable growth rate",Assumptions!A:A,0))),"")</f>
      </c>
      <c r="J15" s="24">
        <f>=IF(8=INDEX(Assumptions!B:B,MATCH("Years to stability",Assumptions!A:A,0))+1,J14/(LOOKUP(2,1/('Cost of equity'!A:A="Stable cost of equity"),'Cost of equity'!B:B)-INDEX(Assumptions!B:B,MATCH("Stable growth rate",Assumptions!A:A,0))),"")</f>
      </c>
      <c r="K15" s="24">
        <f>=IF(9=INDEX(Assumptions!B:B,MATCH("Years to stability",Assumptions!A:A,0))+1,K14/(LOOKUP(2,1/('Cost of equity'!A:A="Stable cost of equity"),'Cost of equity'!B:B)-INDEX(Assumptions!B:B,MATCH("Stable growth rate",Assumptions!A:A,0))),"")</f>
      </c>
      <c r="L15" s="24">
        <f>=IF(10=INDEX(Assumptions!B:B,MATCH("Years to stability",Assumptions!A:A,0))+1,L14/(LOOKUP(2,1/('Cost of equity'!A:A="Stable cost of equity"),'Cost of equity'!B:B)-INDEX(Assumptions!B:B,MATCH("Stable growth rate",Assumptions!A:A,0))),"")</f>
      </c>
      <c r="M15" s="24">
        <f>=IF(11=INDEX(Assumptions!B:B,MATCH("Years to stability",Assumptions!A:A,0))+1,M14/(LOOKUP(2,1/('Cost of equity'!A:A="Stable cost of equity"),'Cost of equity'!B:B)-INDEX(Assumptions!B:B,MATCH("Stable growth rate",Assumptions!A:A,0))),"")</f>
      </c>
      <c r="N15" s="24">
        <f>=IF(12=INDEX(Assumptions!B:B,MATCH("Years to stability",Assumptions!A:A,0))+1,N14/(LOOKUP(2,1/('Cost of equity'!A:A="Stable cost of equity"),'Cost of equity'!B:B)-INDEX(Assumptions!B:B,MATCH("Stable growth rate",Assumptions!A:A,0))),"")</f>
      </c>
      <c r="O15" s="24">
        <f>=IF(13=INDEX(Assumptions!B:B,MATCH("Years to stability",Assumptions!A:A,0))+1,O14/(LOOKUP(2,1/('Cost of equity'!A:A="Stable cost of equity"),'Cost of equity'!B:B)-INDEX(Assumptions!B:B,MATCH("Stable growth rate",Assumptions!A:A,0))),"")</f>
      </c>
      <c r="P15" s="24">
        <f>=IF(14=INDEX(Assumptions!B:B,MATCH("Years to stability",Assumptions!A:A,0))+1,P14/(LOOKUP(2,1/('Cost of equity'!A:A="Stable cost of equity"),'Cost of equity'!B:B)-INDEX(Assumptions!B:B,MATCH("Stable growth rate",Assumptions!A:A,0))),"")</f>
      </c>
      <c r="Q15" s="24">
        <f>=IF(15=INDEX(Assumptions!B:B,MATCH("Years to stability",Assumptions!A:A,0))+1,Q14/(LOOKUP(2,1/('Cost of equity'!A:A="Stable cost of equity"),'Cost of equity'!B:B)-INDEX(Assumptions!B:B,MATCH("Stable growth rate",Assumptions!A:A,0))),"")</f>
      </c>
      <c r="R15" s="24">
        <f>=IF(16=INDEX(Assumptions!B:B,MATCH("Years to stability",Assumptions!A:A,0))+1,R14/(LOOKUP(2,1/('Cost of equity'!A:A="Stable cost of equity"),'Cost of equity'!B:B)-INDEX(Assumptions!B:B,MATCH("Stable growth rate",Assumptions!A:A,0))),"")</f>
      </c>
      <c r="S15" s="24">
        <f>=IF(17=INDEX(Assumptions!B:B,MATCH("Years to stability",Assumptions!A:A,0))+1,S14/(LOOKUP(2,1/('Cost of equity'!A:A="Stable cost of equity"),'Cost of equity'!B:B)-INDEX(Assumptions!B:B,MATCH("Stable growth rate",Assumptions!A:A,0))),"")</f>
      </c>
      <c r="T15" s="24">
        <f>=IF(18=INDEX(Assumptions!B:B,MATCH("Years to stability",Assumptions!A:A,0))+1,T14/(LOOKUP(2,1/('Cost of equity'!A:A="Stable cost of equity"),'Cost of equity'!B:B)-INDEX(Assumptions!B:B,MATCH("Stable growth rate",Assumptions!A:A,0))),"")</f>
      </c>
      <c r="U15" s="24">
        <f>=IF(19=INDEX(Assumptions!B:B,MATCH("Years to stability",Assumptions!A:A,0))+1,U14/(LOOKUP(2,1/('Cost of equity'!A:A="Stable cost of equity"),'Cost of equity'!B:B)-INDEX(Assumptions!B:B,MATCH("Stable growth rate",Assumptions!A:A,0))),"")</f>
      </c>
      <c r="V15" s="24">
        <f>=IF(20=INDEX(Assumptions!B:B,MATCH("Years to stability",Assumptions!A:A,0))+1,V14/(LOOKUP(2,1/('Cost of equity'!A:A="Stable cost of equity"),'Cost of equity'!B:B)-INDEX(Assumptions!B:B,MATCH("Stable growth rate",Assumptions!A:A,0))),"")</f>
      </c>
      <c r="W15" s="24">
        <f>=IF(21=INDEX(Assumptions!B:B,MATCH("Years to stability",Assumptions!A:A,0))+1,W14/(LOOKUP(2,1/('Cost of equity'!A:A="Stable cost of equity"),'Cost of equity'!B:B)-INDEX(Assumptions!B:B,MATCH("Stable growth rate",Assumptions!A:A,0))),"")</f>
      </c>
    </row>
    <row r="16" spans="1:23" x14ac:dyDescent="0.25">
      <c r="A16" s="11" t="s">
        <v>75</v>
      </c>
      <c r="B16" s="12"/>
      <c r="C16" s="24">
        <f>=IF(1&gt;INDEX(Assumptions!B:B,MATCH("Years to stability",Assumptions!A:A,0))+1,"",IF(1=INDEX(Assumptions!B:B,MATCH("Years to stability",Assumptions!A:A,0))+1,C15,C14))</f>
      </c>
      <c r="D16" s="24">
        <f>=IF(2&gt;INDEX(Assumptions!B:B,MATCH("Years to stability",Assumptions!A:A,0))+1,"",IF(2=INDEX(Assumptions!B:B,MATCH("Years to stability",Assumptions!A:A,0))+1,D15,D14))</f>
      </c>
      <c r="E16" s="24">
        <f>=IF(3&gt;INDEX(Assumptions!B:B,MATCH("Years to stability",Assumptions!A:A,0))+1,"",IF(3=INDEX(Assumptions!B:B,MATCH("Years to stability",Assumptions!A:A,0))+1,E15,E14))</f>
      </c>
      <c r="F16" s="24">
        <f>=IF(4&gt;INDEX(Assumptions!B:B,MATCH("Years to stability",Assumptions!A:A,0))+1,"",IF(4=INDEX(Assumptions!B:B,MATCH("Years to stability",Assumptions!A:A,0))+1,F15,F14))</f>
      </c>
      <c r="G16" s="24">
        <f>=IF(5&gt;INDEX(Assumptions!B:B,MATCH("Years to stability",Assumptions!A:A,0))+1,"",IF(5=INDEX(Assumptions!B:B,MATCH("Years to stability",Assumptions!A:A,0))+1,G15,G14))</f>
      </c>
      <c r="H16" s="24">
        <f>=IF(6&gt;INDEX(Assumptions!B:B,MATCH("Years to stability",Assumptions!A:A,0))+1,"",IF(6=INDEX(Assumptions!B:B,MATCH("Years to stability",Assumptions!A:A,0))+1,H15,H14))</f>
      </c>
      <c r="I16" s="24">
        <f>=IF(7&gt;INDEX(Assumptions!B:B,MATCH("Years to stability",Assumptions!A:A,0))+1,"",IF(7=INDEX(Assumptions!B:B,MATCH("Years to stability",Assumptions!A:A,0))+1,I15,I14))</f>
      </c>
      <c r="J16" s="24">
        <f>=IF(8&gt;INDEX(Assumptions!B:B,MATCH("Years to stability",Assumptions!A:A,0))+1,"",IF(8=INDEX(Assumptions!B:B,MATCH("Years to stability",Assumptions!A:A,0))+1,J15,J14))</f>
      </c>
      <c r="K16" s="24">
        <f>=IF(9&gt;INDEX(Assumptions!B:B,MATCH("Years to stability",Assumptions!A:A,0))+1,"",IF(9=INDEX(Assumptions!B:B,MATCH("Years to stability",Assumptions!A:A,0))+1,K15,K14))</f>
      </c>
      <c r="L16" s="24">
        <f>=IF(10&gt;INDEX(Assumptions!B:B,MATCH("Years to stability",Assumptions!A:A,0))+1,"",IF(10=INDEX(Assumptions!B:B,MATCH("Years to stability",Assumptions!A:A,0))+1,L15,L14))</f>
      </c>
      <c r="M16" s="24">
        <f>=IF(11&gt;INDEX(Assumptions!B:B,MATCH("Years to stability",Assumptions!A:A,0))+1,"",IF(11=INDEX(Assumptions!B:B,MATCH("Years to stability",Assumptions!A:A,0))+1,M15,M14))</f>
      </c>
      <c r="N16" s="24">
        <f>=IF(12&gt;INDEX(Assumptions!B:B,MATCH("Years to stability",Assumptions!A:A,0))+1,"",IF(12=INDEX(Assumptions!B:B,MATCH("Years to stability",Assumptions!A:A,0))+1,N15,N14))</f>
      </c>
      <c r="O16" s="24">
        <f>=IF(13&gt;INDEX(Assumptions!B:B,MATCH("Years to stability",Assumptions!A:A,0))+1,"",IF(13=INDEX(Assumptions!B:B,MATCH("Years to stability",Assumptions!A:A,0))+1,O15,O14))</f>
      </c>
      <c r="P16" s="24">
        <f>=IF(14&gt;INDEX(Assumptions!B:B,MATCH("Years to stability",Assumptions!A:A,0))+1,"",IF(14=INDEX(Assumptions!B:B,MATCH("Years to stability",Assumptions!A:A,0))+1,P15,P14))</f>
      </c>
      <c r="Q16" s="24">
        <f>=IF(15&gt;INDEX(Assumptions!B:B,MATCH("Years to stability",Assumptions!A:A,0))+1,"",IF(15=INDEX(Assumptions!B:B,MATCH("Years to stability",Assumptions!A:A,0))+1,Q15,Q14))</f>
      </c>
      <c r="R16" s="24">
        <f>=IF(16&gt;INDEX(Assumptions!B:B,MATCH("Years to stability",Assumptions!A:A,0))+1,"",IF(16=INDEX(Assumptions!B:B,MATCH("Years to stability",Assumptions!A:A,0))+1,R15,R14))</f>
      </c>
      <c r="S16" s="24">
        <f>=IF(17&gt;INDEX(Assumptions!B:B,MATCH("Years to stability",Assumptions!A:A,0))+1,"",IF(17=INDEX(Assumptions!B:B,MATCH("Years to stability",Assumptions!A:A,0))+1,S15,S14))</f>
      </c>
      <c r="T16" s="24">
        <f>=IF(18&gt;INDEX(Assumptions!B:B,MATCH("Years to stability",Assumptions!A:A,0))+1,"",IF(18=INDEX(Assumptions!B:B,MATCH("Years to stability",Assumptions!A:A,0))+1,T15,T14))</f>
      </c>
      <c r="U16" s="24">
        <f>=IF(19&gt;INDEX(Assumptions!B:B,MATCH("Years to stability",Assumptions!A:A,0))+1,"",IF(19=INDEX(Assumptions!B:B,MATCH("Years to stability",Assumptions!A:A,0))+1,U15,U14))</f>
      </c>
      <c r="V16" s="24">
        <f>=IF(20&gt;INDEX(Assumptions!B:B,MATCH("Years to stability",Assumptions!A:A,0))+1,"",IF(20=INDEX(Assumptions!B:B,MATCH("Years to stability",Assumptions!A:A,0))+1,V15,V14))</f>
      </c>
      <c r="W16" s="24">
        <f>=IF(21&gt;INDEX(Assumptions!B:B,MATCH("Years to stability",Assumptions!A:A,0))+1,"",IF(21=INDEX(Assumptions!B:B,MATCH("Years to stability",Assumptions!A:A,0))+1,W15,W14))</f>
      </c>
    </row>
    <row r="17" spans="1:23" x14ac:dyDescent="0.25">
      <c r="A17" s="11" t="s">
        <v>76</v>
      </c>
      <c r="B17" s="12"/>
      <c r="C17" s="27">
        <f>=IF(1&lt;=INDEX(Assumptions!B:B,MATCH("Years to stability",Assumptions!A:A,0))+1,(1+C18)^-MAX(0,(INDEX(Summary!B:B,MATCH("Latest financials date",Summary!A:A,0))+365-INDEX(Summary!B:B,MATCH("Valuation date",Summary!A:A,0)))/365),"")</f>
      </c>
      <c r="D17" s="27">
        <f>=IF(2&lt;=INDEX(Assumptions!B:B,MATCH("Years to stability",Assumptions!A:A,0))+1,IF(2=INDEX(Assumptions!B:B,MATCH("Years to stability",Assumptions!A:A,0))+1,C17,C17/(1+D18)),"")</f>
      </c>
      <c r="E17" s="27">
        <f>=IF(3&lt;=INDEX(Assumptions!B:B,MATCH("Years to stability",Assumptions!A:A,0))+1,IF(3=INDEX(Assumptions!B:B,MATCH("Years to stability",Assumptions!A:A,0))+1,D17,D17/(1+E18)),"")</f>
      </c>
      <c r="F17" s="27">
        <f>=IF(4&lt;=INDEX(Assumptions!B:B,MATCH("Years to stability",Assumptions!A:A,0))+1,IF(4=INDEX(Assumptions!B:B,MATCH("Years to stability",Assumptions!A:A,0))+1,E17,E17/(1+F18)),"")</f>
      </c>
      <c r="G17" s="27">
        <f>=IF(5&lt;=INDEX(Assumptions!B:B,MATCH("Years to stability",Assumptions!A:A,0))+1,IF(5=INDEX(Assumptions!B:B,MATCH("Years to stability",Assumptions!A:A,0))+1,F17,F17/(1+G18)),"")</f>
      </c>
      <c r="H17" s="27">
        <f>=IF(6&lt;=INDEX(Assumptions!B:B,MATCH("Years to stability",Assumptions!A:A,0))+1,IF(6=INDEX(Assumptions!B:B,MATCH("Years to stability",Assumptions!A:A,0))+1,G17,G17/(1+H18)),"")</f>
      </c>
      <c r="I17" s="27">
        <f>=IF(7&lt;=INDEX(Assumptions!B:B,MATCH("Years to stability",Assumptions!A:A,0))+1,IF(7=INDEX(Assumptions!B:B,MATCH("Years to stability",Assumptions!A:A,0))+1,H17,H17/(1+I18)),"")</f>
      </c>
      <c r="J17" s="27">
        <f>=IF(8&lt;=INDEX(Assumptions!B:B,MATCH("Years to stability",Assumptions!A:A,0))+1,IF(8=INDEX(Assumptions!B:B,MATCH("Years to stability",Assumptions!A:A,0))+1,I17,I17/(1+J18)),"")</f>
      </c>
      <c r="K17" s="27">
        <f>=IF(9&lt;=INDEX(Assumptions!B:B,MATCH("Years to stability",Assumptions!A:A,0))+1,IF(9=INDEX(Assumptions!B:B,MATCH("Years to stability",Assumptions!A:A,0))+1,J17,J17/(1+K18)),"")</f>
      </c>
      <c r="L17" s="27">
        <f>=IF(10&lt;=INDEX(Assumptions!B:B,MATCH("Years to stability",Assumptions!A:A,0))+1,IF(10=INDEX(Assumptions!B:B,MATCH("Years to stability",Assumptions!A:A,0))+1,K17,K17/(1+L18)),"")</f>
      </c>
      <c r="M17" s="27">
        <f>=IF(11&lt;=INDEX(Assumptions!B:B,MATCH("Years to stability",Assumptions!A:A,0))+1,IF(11=INDEX(Assumptions!B:B,MATCH("Years to stability",Assumptions!A:A,0))+1,L17,L17/(1+M18)),"")</f>
      </c>
      <c r="N17" s="27">
        <f>=IF(12&lt;=INDEX(Assumptions!B:B,MATCH("Years to stability",Assumptions!A:A,0))+1,IF(12=INDEX(Assumptions!B:B,MATCH("Years to stability",Assumptions!A:A,0))+1,M17,M17/(1+N18)),"")</f>
      </c>
      <c r="O17" s="27">
        <f>=IF(13&lt;=INDEX(Assumptions!B:B,MATCH("Years to stability",Assumptions!A:A,0))+1,IF(13=INDEX(Assumptions!B:B,MATCH("Years to stability",Assumptions!A:A,0))+1,N17,N17/(1+O18)),"")</f>
      </c>
      <c r="P17" s="27">
        <f>=IF(14&lt;=INDEX(Assumptions!B:B,MATCH("Years to stability",Assumptions!A:A,0))+1,IF(14=INDEX(Assumptions!B:B,MATCH("Years to stability",Assumptions!A:A,0))+1,O17,O17/(1+P18)),"")</f>
      </c>
      <c r="Q17" s="27">
        <f>=IF(15&lt;=INDEX(Assumptions!B:B,MATCH("Years to stability",Assumptions!A:A,0))+1,IF(15=INDEX(Assumptions!B:B,MATCH("Years to stability",Assumptions!A:A,0))+1,P17,P17/(1+Q18)),"")</f>
      </c>
      <c r="R17" s="27">
        <f>=IF(16&lt;=INDEX(Assumptions!B:B,MATCH("Years to stability",Assumptions!A:A,0))+1,IF(16=INDEX(Assumptions!B:B,MATCH("Years to stability",Assumptions!A:A,0))+1,Q17,Q17/(1+R18)),"")</f>
      </c>
      <c r="S17" s="27">
        <f>=IF(17&lt;=INDEX(Assumptions!B:B,MATCH("Years to stability",Assumptions!A:A,0))+1,IF(17=INDEX(Assumptions!B:B,MATCH("Years to stability",Assumptions!A:A,0))+1,R17,R17/(1+S18)),"")</f>
      </c>
      <c r="T17" s="27">
        <f>=IF(18&lt;=INDEX(Assumptions!B:B,MATCH("Years to stability",Assumptions!A:A,0))+1,IF(18=INDEX(Assumptions!B:B,MATCH("Years to stability",Assumptions!A:A,0))+1,S17,S17/(1+T18)),"")</f>
      </c>
      <c r="U17" s="27">
        <f>=IF(19&lt;=INDEX(Assumptions!B:B,MATCH("Years to stability",Assumptions!A:A,0))+1,IF(19=INDEX(Assumptions!B:B,MATCH("Years to stability",Assumptions!A:A,0))+1,T17,T17/(1+U18)),"")</f>
      </c>
      <c r="V17" s="27">
        <f>=IF(20&lt;=INDEX(Assumptions!B:B,MATCH("Years to stability",Assumptions!A:A,0))+1,IF(20=INDEX(Assumptions!B:B,MATCH("Years to stability",Assumptions!A:A,0))+1,U17,U17/(1+V18)),"")</f>
      </c>
      <c r="W17" s="27">
        <f>=IF(21&lt;=INDEX(Assumptions!B:B,MATCH("Years to stability",Assumptions!A:A,0))+1,IF(21=INDEX(Assumptions!B:B,MATCH("Years to stability",Assumptions!A:A,0))+1,V17,V17/(1+W18)),"")</f>
      </c>
    </row>
    <row r="18" spans="1:23" x14ac:dyDescent="0.25">
      <c r="A18" s="11" t="s">
        <v>77</v>
      </c>
      <c r="B18" s="12"/>
      <c r="C18" s="25">
        <f>=IF(1&lt;=INDEX(Assumptions!B:B,MATCH("Years to stability",Assumptions!A:A,0))+1,LOOKUP(2,1/('Cost of equity'!A:A="Cost of equity"),'Cost of equity'!B:B)+((MIN(1-1,INDEX(Assumptions!B:B,MATCH("Years to stability",Assumptions!A:A,0))-1))/(INDEX(Assumptions!B:B,MATCH("Years to stability",Assumptions!A:A,0))-1))*(LOOKUP(2,1/('Cost of equity'!A:A="Stable cost of equity"),'Cost of equity'!B:B)-LOOKUP(2,1/('Cost of equity'!A:A="Cost of equity"),'Cost of equity'!B:B)),"")</f>
      </c>
      <c r="D18" s="25">
        <f>=IF(2&lt;=INDEX(Assumptions!B:B,MATCH("Years to stability",Assumptions!A:A,0))+1,LOOKUP(2,1/('Cost of equity'!A:A="Cost of equity"),'Cost of equity'!B:B)+((MIN(2-1,INDEX(Assumptions!B:B,MATCH("Years to stability",Assumptions!A:A,0))-1))/(INDEX(Assumptions!B:B,MATCH("Years to stability",Assumptions!A:A,0))-1))*(LOOKUP(2,1/('Cost of equity'!A:A="Stable cost of equity"),'Cost of equity'!B:B)-LOOKUP(2,1/('Cost of equity'!A:A="Cost of equity"),'Cost of equity'!B:B)),"")</f>
      </c>
      <c r="E18" s="25">
        <f>=IF(3&lt;=INDEX(Assumptions!B:B,MATCH("Years to stability",Assumptions!A:A,0))+1,LOOKUP(2,1/('Cost of equity'!A:A="Cost of equity"),'Cost of equity'!B:B)+((MIN(3-1,INDEX(Assumptions!B:B,MATCH("Years to stability",Assumptions!A:A,0))-1))/(INDEX(Assumptions!B:B,MATCH("Years to stability",Assumptions!A:A,0))-1))*(LOOKUP(2,1/('Cost of equity'!A:A="Stable cost of equity"),'Cost of equity'!B:B)-LOOKUP(2,1/('Cost of equity'!A:A="Cost of equity"),'Cost of equity'!B:B)),"")</f>
      </c>
      <c r="F18" s="25">
        <f>=IF(4&lt;=INDEX(Assumptions!B:B,MATCH("Years to stability",Assumptions!A:A,0))+1,LOOKUP(2,1/('Cost of equity'!A:A="Cost of equity"),'Cost of equity'!B:B)+((MIN(4-1,INDEX(Assumptions!B:B,MATCH("Years to stability",Assumptions!A:A,0))-1))/(INDEX(Assumptions!B:B,MATCH("Years to stability",Assumptions!A:A,0))-1))*(LOOKUP(2,1/('Cost of equity'!A:A="Stable cost of equity"),'Cost of equity'!B:B)-LOOKUP(2,1/('Cost of equity'!A:A="Cost of equity"),'Cost of equity'!B:B)),"")</f>
      </c>
      <c r="G18" s="25">
        <f>=IF(5&lt;=INDEX(Assumptions!B:B,MATCH("Years to stability",Assumptions!A:A,0))+1,LOOKUP(2,1/('Cost of equity'!A:A="Cost of equity"),'Cost of equity'!B:B)+((MIN(5-1,INDEX(Assumptions!B:B,MATCH("Years to stability",Assumptions!A:A,0))-1))/(INDEX(Assumptions!B:B,MATCH("Years to stability",Assumptions!A:A,0))-1))*(LOOKUP(2,1/('Cost of equity'!A:A="Stable cost of equity"),'Cost of equity'!B:B)-LOOKUP(2,1/('Cost of equity'!A:A="Cost of equity"),'Cost of equity'!B:B)),"")</f>
      </c>
      <c r="H18" s="25">
        <f>=IF(6&lt;=INDEX(Assumptions!B:B,MATCH("Years to stability",Assumptions!A:A,0))+1,LOOKUP(2,1/('Cost of equity'!A:A="Cost of equity"),'Cost of equity'!B:B)+((MIN(6-1,INDEX(Assumptions!B:B,MATCH("Years to stability",Assumptions!A:A,0))-1))/(INDEX(Assumptions!B:B,MATCH("Years to stability",Assumptions!A:A,0))-1))*(LOOKUP(2,1/('Cost of equity'!A:A="Stable cost of equity"),'Cost of equity'!B:B)-LOOKUP(2,1/('Cost of equity'!A:A="Cost of equity"),'Cost of equity'!B:B)),"")</f>
      </c>
      <c r="I18" s="25">
        <f>=IF(7&lt;=INDEX(Assumptions!B:B,MATCH("Years to stability",Assumptions!A:A,0))+1,LOOKUP(2,1/('Cost of equity'!A:A="Cost of equity"),'Cost of equity'!B:B)+((MIN(7-1,INDEX(Assumptions!B:B,MATCH("Years to stability",Assumptions!A:A,0))-1))/(INDEX(Assumptions!B:B,MATCH("Years to stability",Assumptions!A:A,0))-1))*(LOOKUP(2,1/('Cost of equity'!A:A="Stable cost of equity"),'Cost of equity'!B:B)-LOOKUP(2,1/('Cost of equity'!A:A="Cost of equity"),'Cost of equity'!B:B)),"")</f>
      </c>
      <c r="J18" s="25">
        <f>=IF(8&lt;=INDEX(Assumptions!B:B,MATCH("Years to stability",Assumptions!A:A,0))+1,LOOKUP(2,1/('Cost of equity'!A:A="Cost of equity"),'Cost of equity'!B:B)+((MIN(8-1,INDEX(Assumptions!B:B,MATCH("Years to stability",Assumptions!A:A,0))-1))/(INDEX(Assumptions!B:B,MATCH("Years to stability",Assumptions!A:A,0))-1))*(LOOKUP(2,1/('Cost of equity'!A:A="Stable cost of equity"),'Cost of equity'!B:B)-LOOKUP(2,1/('Cost of equity'!A:A="Cost of equity"),'Cost of equity'!B:B)),"")</f>
      </c>
      <c r="K18" s="25">
        <f>=IF(9&lt;=INDEX(Assumptions!B:B,MATCH("Years to stability",Assumptions!A:A,0))+1,LOOKUP(2,1/('Cost of equity'!A:A="Cost of equity"),'Cost of equity'!B:B)+((MIN(9-1,INDEX(Assumptions!B:B,MATCH("Years to stability",Assumptions!A:A,0))-1))/(INDEX(Assumptions!B:B,MATCH("Years to stability",Assumptions!A:A,0))-1))*(LOOKUP(2,1/('Cost of equity'!A:A="Stable cost of equity"),'Cost of equity'!B:B)-LOOKUP(2,1/('Cost of equity'!A:A="Cost of equity"),'Cost of equity'!B:B)),"")</f>
      </c>
      <c r="L18" s="25">
        <f>=IF(10&lt;=INDEX(Assumptions!B:B,MATCH("Years to stability",Assumptions!A:A,0))+1,LOOKUP(2,1/('Cost of equity'!A:A="Cost of equity"),'Cost of equity'!B:B)+((MIN(10-1,INDEX(Assumptions!B:B,MATCH("Years to stability",Assumptions!A:A,0))-1))/(INDEX(Assumptions!B:B,MATCH("Years to stability",Assumptions!A:A,0))-1))*(LOOKUP(2,1/('Cost of equity'!A:A="Stable cost of equity"),'Cost of equity'!B:B)-LOOKUP(2,1/('Cost of equity'!A:A="Cost of equity"),'Cost of equity'!B:B)),"")</f>
      </c>
      <c r="M18" s="25">
        <f>=IF(11&lt;=INDEX(Assumptions!B:B,MATCH("Years to stability",Assumptions!A:A,0))+1,LOOKUP(2,1/('Cost of equity'!A:A="Cost of equity"),'Cost of equity'!B:B)+((MIN(11-1,INDEX(Assumptions!B:B,MATCH("Years to stability",Assumptions!A:A,0))-1))/(INDEX(Assumptions!B:B,MATCH("Years to stability",Assumptions!A:A,0))-1))*(LOOKUP(2,1/('Cost of equity'!A:A="Stable cost of equity"),'Cost of equity'!B:B)-LOOKUP(2,1/('Cost of equity'!A:A="Cost of equity"),'Cost of equity'!B:B)),"")</f>
      </c>
      <c r="N18" s="25">
        <f>=IF(12&lt;=INDEX(Assumptions!B:B,MATCH("Years to stability",Assumptions!A:A,0))+1,LOOKUP(2,1/('Cost of equity'!A:A="Cost of equity"),'Cost of equity'!B:B)+((MIN(12-1,INDEX(Assumptions!B:B,MATCH("Years to stability",Assumptions!A:A,0))-1))/(INDEX(Assumptions!B:B,MATCH("Years to stability",Assumptions!A:A,0))-1))*(LOOKUP(2,1/('Cost of equity'!A:A="Stable cost of equity"),'Cost of equity'!B:B)-LOOKUP(2,1/('Cost of equity'!A:A="Cost of equity"),'Cost of equity'!B:B)),"")</f>
      </c>
      <c r="O18" s="25">
        <f>=IF(13&lt;=INDEX(Assumptions!B:B,MATCH("Years to stability",Assumptions!A:A,0))+1,LOOKUP(2,1/('Cost of equity'!A:A="Cost of equity"),'Cost of equity'!B:B)+((MIN(13-1,INDEX(Assumptions!B:B,MATCH("Years to stability",Assumptions!A:A,0))-1))/(INDEX(Assumptions!B:B,MATCH("Years to stability",Assumptions!A:A,0))-1))*(LOOKUP(2,1/('Cost of equity'!A:A="Stable cost of equity"),'Cost of equity'!B:B)-LOOKUP(2,1/('Cost of equity'!A:A="Cost of equity"),'Cost of equity'!B:B)),"")</f>
      </c>
      <c r="P18" s="25">
        <f>=IF(14&lt;=INDEX(Assumptions!B:B,MATCH("Years to stability",Assumptions!A:A,0))+1,LOOKUP(2,1/('Cost of equity'!A:A="Cost of equity"),'Cost of equity'!B:B)+((MIN(14-1,INDEX(Assumptions!B:B,MATCH("Years to stability",Assumptions!A:A,0))-1))/(INDEX(Assumptions!B:B,MATCH("Years to stability",Assumptions!A:A,0))-1))*(LOOKUP(2,1/('Cost of equity'!A:A="Stable cost of equity"),'Cost of equity'!B:B)-LOOKUP(2,1/('Cost of equity'!A:A="Cost of equity"),'Cost of equity'!B:B)),"")</f>
      </c>
      <c r="Q18" s="25">
        <f>=IF(15&lt;=INDEX(Assumptions!B:B,MATCH("Years to stability",Assumptions!A:A,0))+1,LOOKUP(2,1/('Cost of equity'!A:A="Cost of equity"),'Cost of equity'!B:B)+((MIN(15-1,INDEX(Assumptions!B:B,MATCH("Years to stability",Assumptions!A:A,0))-1))/(INDEX(Assumptions!B:B,MATCH("Years to stability",Assumptions!A:A,0))-1))*(LOOKUP(2,1/('Cost of equity'!A:A="Stable cost of equity"),'Cost of equity'!B:B)-LOOKUP(2,1/('Cost of equity'!A:A="Cost of equity"),'Cost of equity'!B:B)),"")</f>
      </c>
      <c r="R18" s="25">
        <f>=IF(16&lt;=INDEX(Assumptions!B:B,MATCH("Years to stability",Assumptions!A:A,0))+1,LOOKUP(2,1/('Cost of equity'!A:A="Cost of equity"),'Cost of equity'!B:B)+((MIN(16-1,INDEX(Assumptions!B:B,MATCH("Years to stability",Assumptions!A:A,0))-1))/(INDEX(Assumptions!B:B,MATCH("Years to stability",Assumptions!A:A,0))-1))*(LOOKUP(2,1/('Cost of equity'!A:A="Stable cost of equity"),'Cost of equity'!B:B)-LOOKUP(2,1/('Cost of equity'!A:A="Cost of equity"),'Cost of equity'!B:B)),"")</f>
      </c>
      <c r="S18" s="25">
        <f>=IF(17&lt;=INDEX(Assumptions!B:B,MATCH("Years to stability",Assumptions!A:A,0))+1,LOOKUP(2,1/('Cost of equity'!A:A="Cost of equity"),'Cost of equity'!B:B)+((MIN(17-1,INDEX(Assumptions!B:B,MATCH("Years to stability",Assumptions!A:A,0))-1))/(INDEX(Assumptions!B:B,MATCH("Years to stability",Assumptions!A:A,0))-1))*(LOOKUP(2,1/('Cost of equity'!A:A="Stable cost of equity"),'Cost of equity'!B:B)-LOOKUP(2,1/('Cost of equity'!A:A="Cost of equity"),'Cost of equity'!B:B)),"")</f>
      </c>
      <c r="T18" s="25">
        <f>=IF(18&lt;=INDEX(Assumptions!B:B,MATCH("Years to stability",Assumptions!A:A,0))+1,LOOKUP(2,1/('Cost of equity'!A:A="Cost of equity"),'Cost of equity'!B:B)+((MIN(18-1,INDEX(Assumptions!B:B,MATCH("Years to stability",Assumptions!A:A,0))-1))/(INDEX(Assumptions!B:B,MATCH("Years to stability",Assumptions!A:A,0))-1))*(LOOKUP(2,1/('Cost of equity'!A:A="Stable cost of equity"),'Cost of equity'!B:B)-LOOKUP(2,1/('Cost of equity'!A:A="Cost of equity"),'Cost of equity'!B:B)),"")</f>
      </c>
      <c r="U18" s="25">
        <f>=IF(19&lt;=INDEX(Assumptions!B:B,MATCH("Years to stability",Assumptions!A:A,0))+1,LOOKUP(2,1/('Cost of equity'!A:A="Cost of equity"),'Cost of equity'!B:B)+((MIN(19-1,INDEX(Assumptions!B:B,MATCH("Years to stability",Assumptions!A:A,0))-1))/(INDEX(Assumptions!B:B,MATCH("Years to stability",Assumptions!A:A,0))-1))*(LOOKUP(2,1/('Cost of equity'!A:A="Stable cost of equity"),'Cost of equity'!B:B)-LOOKUP(2,1/('Cost of equity'!A:A="Cost of equity"),'Cost of equity'!B:B)),"")</f>
      </c>
      <c r="V18" s="25">
        <f>=IF(20&lt;=INDEX(Assumptions!B:B,MATCH("Years to stability",Assumptions!A:A,0))+1,LOOKUP(2,1/('Cost of equity'!A:A="Cost of equity"),'Cost of equity'!B:B)+((MIN(20-1,INDEX(Assumptions!B:B,MATCH("Years to stability",Assumptions!A:A,0))-1))/(INDEX(Assumptions!B:B,MATCH("Years to stability",Assumptions!A:A,0))-1))*(LOOKUP(2,1/('Cost of equity'!A:A="Stable cost of equity"),'Cost of equity'!B:B)-LOOKUP(2,1/('Cost of equity'!A:A="Cost of equity"),'Cost of equity'!B:B)),"")</f>
      </c>
      <c r="W18" s="25">
        <f>=IF(21&lt;=INDEX(Assumptions!B:B,MATCH("Years to stability",Assumptions!A:A,0))+1,LOOKUP(2,1/('Cost of equity'!A:A="Cost of equity"),'Cost of equity'!B:B)+((MIN(21-1,INDEX(Assumptions!B:B,MATCH("Years to stability",Assumptions!A:A,0))-1))/(INDEX(Assumptions!B:B,MATCH("Years to stability",Assumptions!A:A,0))-1))*(LOOKUP(2,1/('Cost of equity'!A:A="Stable cost of equity"),'Cost of equity'!B:B)-LOOKUP(2,1/('Cost of equity'!A:A="Cost of equity"),'Cost of equity'!B:B)),"")</f>
      </c>
    </row>
    <row r="19" spans="1:23" x14ac:dyDescent="0.25">
      <c r="A19" s="11" t="s">
        <v>78</v>
      </c>
      <c r="B19" s="12"/>
      <c r="C19" s="24">
        <f>=IF(1&lt;=INDEX(Assumptions!B:B,MATCH("Years to stability",Assumptions!A:A,0))+1,C16*C17,"")</f>
      </c>
      <c r="D19" s="24">
        <f>=IF(2&lt;=INDEX(Assumptions!B:B,MATCH("Years to stability",Assumptions!A:A,0))+1,D16*D17,"")</f>
      </c>
      <c r="E19" s="24">
        <f>=IF(3&lt;=INDEX(Assumptions!B:B,MATCH("Years to stability",Assumptions!A:A,0))+1,E16*E17,"")</f>
      </c>
      <c r="F19" s="24">
        <f>=IF(4&lt;=INDEX(Assumptions!B:B,MATCH("Years to stability",Assumptions!A:A,0))+1,F16*F17,"")</f>
      </c>
      <c r="G19" s="24">
        <f>=IF(5&lt;=INDEX(Assumptions!B:B,MATCH("Years to stability",Assumptions!A:A,0))+1,G16*G17,"")</f>
      </c>
      <c r="H19" s="24">
        <f>=IF(6&lt;=INDEX(Assumptions!B:B,MATCH("Years to stability",Assumptions!A:A,0))+1,H16*H17,"")</f>
      </c>
      <c r="I19" s="24">
        <f>=IF(7&lt;=INDEX(Assumptions!B:B,MATCH("Years to stability",Assumptions!A:A,0))+1,I16*I17,"")</f>
      </c>
      <c r="J19" s="24">
        <f>=IF(8&lt;=INDEX(Assumptions!B:B,MATCH("Years to stability",Assumptions!A:A,0))+1,J16*J17,"")</f>
      </c>
      <c r="K19" s="24">
        <f>=IF(9&lt;=INDEX(Assumptions!B:B,MATCH("Years to stability",Assumptions!A:A,0))+1,K16*K17,"")</f>
      </c>
      <c r="L19" s="24">
        <f>=IF(10&lt;=INDEX(Assumptions!B:B,MATCH("Years to stability",Assumptions!A:A,0))+1,L16*L17,"")</f>
      </c>
      <c r="M19" s="24">
        <f>=IF(11&lt;=INDEX(Assumptions!B:B,MATCH("Years to stability",Assumptions!A:A,0))+1,M16*M17,"")</f>
      </c>
      <c r="N19" s="24">
        <f>=IF(12&lt;=INDEX(Assumptions!B:B,MATCH("Years to stability",Assumptions!A:A,0))+1,N16*N17,"")</f>
      </c>
      <c r="O19" s="24">
        <f>=IF(13&lt;=INDEX(Assumptions!B:B,MATCH("Years to stability",Assumptions!A:A,0))+1,O16*O17,"")</f>
      </c>
      <c r="P19" s="24">
        <f>=IF(14&lt;=INDEX(Assumptions!B:B,MATCH("Years to stability",Assumptions!A:A,0))+1,P16*P17,"")</f>
      </c>
      <c r="Q19" s="24">
        <f>=IF(15&lt;=INDEX(Assumptions!B:B,MATCH("Years to stability",Assumptions!A:A,0))+1,Q16*Q17,"")</f>
      </c>
      <c r="R19" s="24">
        <f>=IF(16&lt;=INDEX(Assumptions!B:B,MATCH("Years to stability",Assumptions!A:A,0))+1,R16*R17,"")</f>
      </c>
      <c r="S19" s="24">
        <f>=IF(17&lt;=INDEX(Assumptions!B:B,MATCH("Years to stability",Assumptions!A:A,0))+1,S16*S17,"")</f>
      </c>
      <c r="T19" s="24">
        <f>=IF(18&lt;=INDEX(Assumptions!B:B,MATCH("Years to stability",Assumptions!A:A,0))+1,T16*T17,"")</f>
      </c>
      <c r="U19" s="24">
        <f>=IF(19&lt;=INDEX(Assumptions!B:B,MATCH("Years to stability",Assumptions!A:A,0))+1,U16*U17,"")</f>
      </c>
      <c r="V19" s="24">
        <f>=IF(20&lt;=INDEX(Assumptions!B:B,MATCH("Years to stability",Assumptions!A:A,0))+1,V16*V17,"")</f>
      </c>
      <c r="W19" s="24">
        <f>=IF(21&lt;=INDEX(Assumptions!B:B,MATCH("Years to stability",Assumptions!A:A,0))+1,W16*W17,"")</f>
      </c>
    </row>
    <row r="21" spans="1:23" x14ac:dyDescent="0.25">
      <c r="A21" s="11" t="s">
        <v>79</v>
      </c>
      <c r="B21" s="24">
        <f>=SUM(C19:W19)</f>
      </c>
      <c r="C21" s="12"/>
      <c r="D21" s="12"/>
      <c r="E21" s="12"/>
      <c r="F21" s="12"/>
      <c r="G21" s="12"/>
      <c r="H21" s="12"/>
      <c r="I21" s="12"/>
      <c r="J21" s="12"/>
      <c r="K21" s="12"/>
      <c r="L21" s="12"/>
      <c r="M21" s="12"/>
      <c r="N21" s="12"/>
      <c r="O21" s="12"/>
      <c r="P21" s="12"/>
      <c r="Q21" s="12"/>
      <c r="R21" s="12"/>
      <c r="S21" s="12"/>
      <c r="T21" s="12"/>
      <c r="U21" s="12"/>
      <c r="V21" s="12"/>
      <c r="W21" s="12"/>
    </row>
    <row r="22" spans="1:23" x14ac:dyDescent="0.25">
      <c r="A22" s="11" t="s">
        <v>80</v>
      </c>
      <c r="B22" s="24">
        <f>=B21-B25</f>
      </c>
      <c r="C22" s="12"/>
      <c r="D22" s="12"/>
      <c r="E22" s="12"/>
      <c r="F22" s="12"/>
      <c r="G22" s="12"/>
      <c r="H22" s="12"/>
      <c r="I22" s="12"/>
      <c r="J22" s="12"/>
      <c r="K22" s="12"/>
      <c r="L22" s="12"/>
      <c r="M22" s="12"/>
      <c r="N22" s="12"/>
      <c r="O22" s="12"/>
      <c r="P22" s="12"/>
      <c r="Q22" s="12"/>
      <c r="R22" s="12"/>
      <c r="S22" s="12"/>
      <c r="T22" s="12"/>
      <c r="U22" s="12"/>
      <c r="V22" s="12"/>
      <c r="W22" s="12"/>
    </row>
    <row r="23" spans="1:23" x14ac:dyDescent="0.25">
      <c r="A23" s="11" t="s">
        <v>81</v>
      </c>
      <c r="B23" s="14">
        <v>0.014</v>
      </c>
      <c r="C23" s="12"/>
      <c r="D23" s="12"/>
      <c r="E23" s="12"/>
      <c r="F23" s="12"/>
      <c r="G23" s="12"/>
      <c r="H23" s="12"/>
      <c r="I23" s="12"/>
      <c r="J23" s="12"/>
      <c r="K23" s="12"/>
      <c r="L23" s="12"/>
      <c r="M23" s="12"/>
      <c r="N23" s="12"/>
      <c r="O23" s="12"/>
      <c r="P23" s="12"/>
      <c r="Q23" s="12"/>
      <c r="R23" s="12"/>
      <c r="S23" s="12"/>
      <c r="T23" s="12"/>
      <c r="U23" s="12"/>
      <c r="V23" s="12"/>
      <c r="W23" s="12"/>
    </row>
    <row r="24" spans="1:23" x14ac:dyDescent="0.25">
      <c r="A24" s="11" t="s">
        <v>82</v>
      </c>
      <c r="B24" s="25">
        <f>=INDEX(Assumptions!B:B,MATCH("Recovery ratio",Assumptions!A:A,0))</f>
      </c>
      <c r="C24" s="12"/>
      <c r="D24" s="12"/>
      <c r="E24" s="12"/>
      <c r="F24" s="12"/>
      <c r="G24" s="12"/>
      <c r="H24" s="12"/>
      <c r="I24" s="12"/>
      <c r="J24" s="12"/>
      <c r="K24" s="12"/>
      <c r="L24" s="12"/>
      <c r="M24" s="12"/>
      <c r="N24" s="12"/>
      <c r="O24" s="12"/>
      <c r="P24" s="12"/>
      <c r="Q24" s="12"/>
      <c r="R24" s="12"/>
      <c r="S24" s="12"/>
      <c r="T24" s="12"/>
      <c r="U24" s="12"/>
      <c r="V24" s="12"/>
      <c r="W24" s="12"/>
    </row>
    <row r="25" spans="1:23" x14ac:dyDescent="0.25">
      <c r="A25" s="11" t="s">
        <v>83</v>
      </c>
      <c r="B25" s="24">
        <f>=(1-B23)*B21+B23*(B24*B11)</f>
      </c>
      <c r="C25" s="12"/>
      <c r="D25" s="12"/>
      <c r="E25" s="12"/>
      <c r="F25" s="12"/>
      <c r="G25" s="12"/>
      <c r="H25" s="12"/>
      <c r="I25" s="12"/>
      <c r="J25" s="12"/>
      <c r="K25" s="12"/>
      <c r="L25" s="12"/>
      <c r="M25" s="12"/>
      <c r="N25" s="12"/>
      <c r="O25" s="12"/>
      <c r="P25" s="12"/>
      <c r="Q25" s="12"/>
      <c r="R25" s="12"/>
      <c r="S25" s="12"/>
      <c r="T25" s="12"/>
      <c r="U25" s="12"/>
      <c r="V25" s="12"/>
      <c r="W25" s="12"/>
    </row>
    <row r="26" spans="1:23" x14ac:dyDescent="0.25">
      <c r="A26" s="11" t="s">
        <v>84</v>
      </c>
      <c r="B26" s="28">
        <v>0</v>
      </c>
      <c r="C26" s="12"/>
      <c r="D26" s="12"/>
      <c r="E26" s="12"/>
      <c r="F26" s="12"/>
      <c r="G26" s="12"/>
      <c r="H26" s="12"/>
      <c r="I26" s="12"/>
      <c r="J26" s="12"/>
      <c r="K26" s="12"/>
      <c r="L26" s="12"/>
      <c r="M26" s="12"/>
      <c r="N26" s="12"/>
      <c r="O26" s="12"/>
      <c r="P26" s="12"/>
      <c r="Q26" s="12"/>
      <c r="R26" s="12"/>
      <c r="S26" s="12"/>
      <c r="T26" s="12"/>
      <c r="U26" s="12"/>
      <c r="V26" s="12"/>
      <c r="W26" s="12"/>
    </row>
    <row r="27" spans="1:23" x14ac:dyDescent="0.25">
      <c r="A27" s="11" t="s">
        <v>85</v>
      </c>
      <c r="B27" s="28">
        <v>0</v>
      </c>
      <c r="C27" s="12"/>
      <c r="D27" s="12"/>
      <c r="E27" s="12"/>
      <c r="F27" s="12"/>
      <c r="G27" s="12"/>
      <c r="H27" s="12"/>
      <c r="I27" s="12"/>
      <c r="J27" s="12"/>
      <c r="K27" s="12"/>
      <c r="L27" s="12"/>
      <c r="M27" s="12"/>
      <c r="N27" s="12"/>
      <c r="O27" s="12"/>
      <c r="P27" s="12"/>
      <c r="Q27" s="12"/>
      <c r="R27" s="12"/>
      <c r="S27" s="12"/>
      <c r="T27" s="12"/>
      <c r="U27" s="12"/>
      <c r="V27" s="12"/>
      <c r="W27" s="12"/>
    </row>
    <row r="28" spans="1:23" x14ac:dyDescent="0.25">
      <c r="A28" s="11" t="s">
        <v>86</v>
      </c>
      <c r="B28" s="24">
        <f>=B25-B26-B27</f>
      </c>
      <c r="C28" s="12"/>
      <c r="D28" s="12"/>
      <c r="E28" s="12"/>
      <c r="F28" s="12"/>
      <c r="G28" s="12"/>
      <c r="H28" s="12"/>
      <c r="I28" s="12"/>
      <c r="J28" s="12"/>
      <c r="K28" s="12"/>
      <c r="L28" s="12"/>
      <c r="M28" s="12"/>
      <c r="N28" s="12"/>
      <c r="O28" s="12"/>
      <c r="P28" s="12"/>
      <c r="Q28" s="12"/>
      <c r="R28" s="12"/>
      <c r="S28" s="12"/>
      <c r="T28" s="12"/>
      <c r="U28" s="12"/>
      <c r="V28" s="12"/>
      <c r="W28" s="12"/>
    </row>
    <row r="29" spans="1:23" x14ac:dyDescent="0.25">
      <c r="A29" s="11" t="s">
        <v>87</v>
      </c>
      <c r="B29" s="29">
        <f>=Summary!B20</f>
      </c>
      <c r="C29" s="12"/>
      <c r="D29" s="12"/>
      <c r="E29" s="12"/>
      <c r="F29" s="12"/>
      <c r="G29" s="12"/>
      <c r="H29" s="12"/>
      <c r="I29" s="12"/>
      <c r="J29" s="12"/>
      <c r="K29" s="12"/>
      <c r="L29" s="12"/>
      <c r="M29" s="12"/>
      <c r="N29" s="12"/>
      <c r="O29" s="12"/>
      <c r="P29" s="12"/>
      <c r="Q29" s="12"/>
      <c r="R29" s="12"/>
      <c r="S29" s="12"/>
      <c r="T29" s="12"/>
      <c r="U29" s="12"/>
      <c r="V29" s="12"/>
      <c r="W29" s="12"/>
    </row>
    <row r="30" spans="1:23" x14ac:dyDescent="0.25">
      <c r="A30" s="11" t="s">
        <v>88</v>
      </c>
      <c r="B30" s="30">
        <f>=B28/B29</f>
      </c>
      <c r="C30" s="12"/>
      <c r="D30" s="12"/>
      <c r="E30" s="12"/>
      <c r="F30" s="12"/>
      <c r="G30" s="12"/>
      <c r="H30" s="12"/>
      <c r="I30" s="12"/>
      <c r="J30" s="12"/>
      <c r="K30" s="12"/>
      <c r="L30" s="12"/>
      <c r="M30" s="12"/>
      <c r="N30" s="12"/>
      <c r="O30" s="12"/>
      <c r="P30" s="12"/>
      <c r="Q30" s="12"/>
      <c r="R30" s="12"/>
      <c r="S30" s="12"/>
      <c r="T30" s="12"/>
      <c r="U30" s="12"/>
      <c r="V30" s="12"/>
      <c r="W30" s="12"/>
    </row>
  </sheetData>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howGridLines="0"/>
  </sheetViews>
  <sheetFormatPr defaultRowHeight="15" outlineLevelRow="0" outlineLevelCol="0" x14ac:dyDescent="55"/>
  <cols>
    <col min="1" max="1" width="25" style="6" customWidth="1"/>
    <col min="2" max="2" width="15" style="7" customWidth="1"/>
    <col min="3" max="3" width="15" style="6" customWidth="1"/>
    <col min="4" max="6" width="20" style="7" customWidth="1"/>
  </cols>
  <sheetData>
    <row r="1" spans="1:6" s="8" customFormat="1" x14ac:dyDescent="0.25">
      <c r="A1" s="9" t="s">
        <v>89</v>
      </c>
      <c r="B1" s="10"/>
      <c r="C1" s="9"/>
      <c r="D1" s="10"/>
      <c r="E1" s="10"/>
      <c r="F1" s="10"/>
    </row>
    <row r="2" spans="1:6" x14ac:dyDescent="0.25">
      <c r="A2" s="11" t="s">
        <v>10</v>
      </c>
      <c r="B2" s="12"/>
      <c r="C2" s="11"/>
      <c r="D2" s="12"/>
      <c r="E2" s="12"/>
      <c r="F2" s="12"/>
    </row>
    <row r="4" spans="1:6" s="17" customFormat="1" x14ac:dyDescent="0.25">
      <c r="A4" s="18" t="s">
        <v>90</v>
      </c>
      <c r="B4" s="31"/>
      <c r="C4" s="18"/>
      <c r="D4" s="31"/>
      <c r="E4" s="31"/>
      <c r="F4" s="31"/>
    </row>
    <row r="5" spans="1:6" s="32" customFormat="1" x14ac:dyDescent="0.25">
      <c r="A5" s="21" t="s">
        <v>91</v>
      </c>
      <c r="B5" s="22" t="s">
        <v>92</v>
      </c>
      <c r="C5" s="21" t="s">
        <v>93</v>
      </c>
      <c r="D5" s="22" t="s">
        <v>94</v>
      </c>
      <c r="E5" s="22" t="s">
        <v>95</v>
      </c>
      <c r="F5" s="22" t="s">
        <v>96</v>
      </c>
    </row>
    <row r="6" spans="1:6" x14ac:dyDescent="0.25">
      <c r="A6" s="33">
        <v>0</v>
      </c>
      <c r="B6" s="13">
        <v>0</v>
      </c>
      <c r="C6" s="34">
        <v>0</v>
      </c>
      <c r="D6" s="14">
        <v>0</v>
      </c>
      <c r="E6" s="14">
        <v>0</v>
      </c>
      <c r="F6" s="35"/>
    </row>
    <row r="8" spans="1:6" s="17" customFormat="1" x14ac:dyDescent="0.25">
      <c r="A8" s="18" t="s">
        <v>97</v>
      </c>
      <c r="B8" s="31"/>
      <c r="C8" s="18"/>
      <c r="D8" s="31"/>
      <c r="E8" s="31"/>
      <c r="F8" s="31"/>
    </row>
    <row r="9" spans="1:6" s="32" customFormat="1" x14ac:dyDescent="0.25">
      <c r="A9" s="21" t="s">
        <v>98</v>
      </c>
      <c r="B9" s="22" t="s">
        <v>96</v>
      </c>
      <c r="C9" s="21" t="s">
        <v>99</v>
      </c>
      <c r="D9" s="36"/>
      <c r="E9" s="36"/>
      <c r="F9" s="36"/>
    </row>
    <row r="10" spans="1:6" x14ac:dyDescent="0.25">
      <c r="A10" s="11" t="s">
        <v>100</v>
      </c>
      <c r="B10" s="16">
        <v>0</v>
      </c>
      <c r="C10" s="11" t="s">
        <v>62</v>
      </c>
      <c r="D10" s="12"/>
      <c r="E10" s="12"/>
      <c r="F10" s="12"/>
    </row>
    <row r="11" spans="1:6" x14ac:dyDescent="0.25">
      <c r="A11" s="11" t="s">
        <v>101</v>
      </c>
      <c r="B11" s="16">
        <v>0</v>
      </c>
      <c r="C11" s="11" t="s">
        <v>62</v>
      </c>
      <c r="D11" s="12"/>
      <c r="E11" s="12"/>
      <c r="F11" s="12"/>
    </row>
    <row r="12" spans="1:6" x14ac:dyDescent="0.25">
      <c r="A12" s="11" t="s">
        <v>102</v>
      </c>
      <c r="B12" s="16">
        <v>0</v>
      </c>
      <c r="C12" s="11" t="s">
        <v>62</v>
      </c>
      <c r="D12" s="12"/>
      <c r="E12" s="12"/>
      <c r="F12" s="12"/>
    </row>
    <row r="13" spans="1:6" x14ac:dyDescent="0.25">
      <c r="A13" s="11" t="s">
        <v>103</v>
      </c>
      <c r="B13" s="16">
        <v>0</v>
      </c>
      <c r="C13" s="11" t="s">
        <v>62</v>
      </c>
      <c r="D13" s="12"/>
      <c r="E13" s="12"/>
      <c r="F13" s="12"/>
    </row>
    <row r="14" spans="1:6" x14ac:dyDescent="0.25">
      <c r="A14" s="11" t="s">
        <v>104</v>
      </c>
      <c r="B14" s="16">
        <v>0</v>
      </c>
      <c r="C14" s="11" t="s">
        <v>62</v>
      </c>
      <c r="D14" s="12"/>
      <c r="E14" s="12"/>
      <c r="F14" s="12"/>
    </row>
    <row r="15" spans="1:6" x14ac:dyDescent="0.25">
      <c r="A15" s="11" t="s">
        <v>105</v>
      </c>
      <c r="B15" s="16">
        <v>0</v>
      </c>
      <c r="C15" s="11" t="s">
        <v>62</v>
      </c>
      <c r="D15" s="12"/>
      <c r="E15" s="12"/>
      <c r="F15" s="12"/>
    </row>
    <row r="16" spans="1:6" x14ac:dyDescent="0.25">
      <c r="A16" s="11" t="s">
        <v>106</v>
      </c>
      <c r="B16" s="16">
        <v>0</v>
      </c>
      <c r="C16" s="11" t="s">
        <v>62</v>
      </c>
      <c r="D16" s="12"/>
      <c r="E16" s="12"/>
      <c r="F16" s="12"/>
    </row>
  </sheetData>
  <pageMargins left="0.7" right="0.7" top="0.75" bottom="0.75" header="0.3" footer="0.3"/>
  <pageSetup orientation="portrait" horizontalDpi="4294967295" verticalDpi="4294967295" scale="100" fitToWidth="1" fitToHeigh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30" style="6" customWidth="1"/>
    <col min="2" max="6" width="15" style="7" customWidth="1"/>
  </cols>
  <sheetData>
    <row r="1" spans="1:6" s="8" customFormat="1" x14ac:dyDescent="0.25">
      <c r="A1" s="9" t="s">
        <v>107</v>
      </c>
      <c r="B1" s="10"/>
      <c r="C1" s="10"/>
      <c r="D1" s="10"/>
      <c r="E1" s="10"/>
      <c r="F1" s="10"/>
    </row>
    <row r="2" spans="1:6" x14ac:dyDescent="0.25">
      <c r="A2" s="11" t="s">
        <v>10</v>
      </c>
      <c r="B2" s="12"/>
      <c r="C2" s="12"/>
      <c r="D2" s="12"/>
      <c r="E2" s="12"/>
      <c r="F2" s="12"/>
    </row>
    <row r="4" spans="1:6" x14ac:dyDescent="0.25">
      <c r="A4" s="21" t="s">
        <v>108</v>
      </c>
      <c r="B4" s="37">
        <v>2025</v>
      </c>
      <c r="C4" s="37">
        <v>2024</v>
      </c>
      <c r="D4" s="37">
        <v>2023</v>
      </c>
      <c r="E4" s="37">
        <v>2022</v>
      </c>
      <c r="F4" s="37">
        <v>2021</v>
      </c>
    </row>
    <row r="5" spans="1:6" x14ac:dyDescent="0.25">
      <c r="A5" s="11" t="s">
        <v>64</v>
      </c>
      <c r="B5" s="16">
        <v>33338</v>
      </c>
      <c r="C5" s="16">
        <v>31797</v>
      </c>
      <c r="D5" s="16">
        <v>29771</v>
      </c>
      <c r="E5" s="16">
        <v>27518</v>
      </c>
      <c r="F5" s="16">
        <v>25371</v>
      </c>
    </row>
    <row r="6" spans="1:6" x14ac:dyDescent="0.25">
      <c r="A6" s="11" t="s">
        <v>109</v>
      </c>
      <c r="B6" s="14">
        <v>0.0485</v>
      </c>
      <c r="C6" s="14">
        <v>0.0681</v>
      </c>
      <c r="D6" s="14">
        <v>0.0819</v>
      </c>
      <c r="E6" s="14">
        <v>0.0846</v>
      </c>
      <c r="F6" s="14">
        <v>0.1826</v>
      </c>
    </row>
    <row r="7" spans="1:6" x14ac:dyDescent="0.25">
      <c r="A7" s="11" t="s">
        <v>110</v>
      </c>
      <c r="B7" s="16">
        <v>5595.8</v>
      </c>
      <c r="C7" s="16">
        <v>4319</v>
      </c>
      <c r="D7" s="16">
        <v>4260.3</v>
      </c>
      <c r="E7" s="16">
        <v>3479</v>
      </c>
      <c r="F7" s="16">
        <v>5995.1</v>
      </c>
    </row>
    <row r="8" spans="1:6" x14ac:dyDescent="0.25">
      <c r="A8" s="11" t="s">
        <v>111</v>
      </c>
      <c r="B8" s="14">
        <v>0.1678505009298698</v>
      </c>
      <c r="C8" s="14">
        <v>0.1358304242538604</v>
      </c>
      <c r="D8" s="14">
        <v>0.1431023479224749</v>
      </c>
      <c r="E8" s="14">
        <v>0.1264263391234828</v>
      </c>
      <c r="F8" s="14">
        <v>0.2362973473651019</v>
      </c>
    </row>
    <row r="9" spans="1:6" x14ac:dyDescent="0.25">
      <c r="A9" s="11" t="s">
        <v>112</v>
      </c>
      <c r="B9" s="16">
        <v>-469.2</v>
      </c>
      <c r="C9" s="16">
        <v>-1633</v>
      </c>
      <c r="D9" s="16">
        <v>-614.7</v>
      </c>
      <c r="E9" s="16">
        <v>-577</v>
      </c>
      <c r="F9" s="16">
        <v>2784.1</v>
      </c>
    </row>
    <row r="10" spans="1:6" x14ac:dyDescent="0.25">
      <c r="A10" s="11" t="s">
        <v>113</v>
      </c>
      <c r="B10" s="16">
        <v>6065</v>
      </c>
      <c r="C10" s="16">
        <v>5952</v>
      </c>
      <c r="D10" s="16">
        <v>4875</v>
      </c>
      <c r="E10" s="16">
        <v>4056</v>
      </c>
      <c r="F10" s="16">
        <v>3211</v>
      </c>
    </row>
    <row r="11" spans="1:6" x14ac:dyDescent="0.25">
      <c r="A11" s="11" t="s">
        <v>114</v>
      </c>
      <c r="B11" s="16">
        <v>32340.75</v>
      </c>
      <c r="C11" s="16">
        <v>32138.95</v>
      </c>
      <c r="D11" s="16">
        <v>32600.95</v>
      </c>
      <c r="E11" s="16">
        <v>31809.65</v>
      </c>
      <c r="F11" s="16">
        <v>32202.65</v>
      </c>
    </row>
    <row r="12" spans="1:6" x14ac:dyDescent="0.25">
      <c r="A12" s="11" t="s">
        <v>115</v>
      </c>
      <c r="B12" s="14">
        <v>0.1730262903612316</v>
      </c>
      <c r="C12" s="14">
        <v>0.13438522415947</v>
      </c>
      <c r="D12" s="14">
        <v>0.1306802409132249</v>
      </c>
      <c r="E12" s="14">
        <v>0.1093693266037193</v>
      </c>
      <c r="F12" s="14">
        <v>0.1861679085416883</v>
      </c>
    </row>
    <row r="13" spans="1:6" x14ac:dyDescent="0.25">
      <c r="A13" s="11" t="s">
        <v>116</v>
      </c>
      <c r="B13" s="16">
        <v>1.030835710365406</v>
      </c>
      <c r="C13" s="16">
        <v>0.9893602622363207</v>
      </c>
      <c r="D13" s="16">
        <v>0.9131942474069007</v>
      </c>
      <c r="E13" s="16">
        <v>0.8650833945044979</v>
      </c>
      <c r="F13" s="16">
        <v>0.7878544157080241</v>
      </c>
    </row>
  </sheetData>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workbookViewId="0" showGridLines="0"/>
  </sheetViews>
  <sheetFormatPr defaultRowHeight="15" outlineLevelRow="0" outlineLevelCol="0" x14ac:dyDescent="55"/>
  <cols>
    <col min="1" max="1" width="9" style="6" customWidth="1"/>
    <col min="2" max="2" width="9" style="7" customWidth="1"/>
    <col min="3" max="3" width="9" style="38" customWidth="1"/>
    <col min="4" max="4" width="9" style="7" customWidth="1"/>
    <col min="5" max="5" width="9" style="38" customWidth="1"/>
    <col min="6" max="6" width="9" style="7" customWidth="1"/>
  </cols>
  <sheetData>
    <row r="1" spans="1:6" s="8" customFormat="1" x14ac:dyDescent="0.25">
      <c r="A1" s="9" t="s">
        <v>117</v>
      </c>
      <c r="B1" s="10"/>
      <c r="C1" s="39"/>
      <c r="D1" s="10"/>
      <c r="E1" s="39"/>
      <c r="F1" s="10"/>
    </row>
    <row r="2" spans="1:6" x14ac:dyDescent="0.25">
      <c r="A2" s="11" t="s">
        <v>10</v>
      </c>
      <c r="B2" s="12"/>
      <c r="C2" s="40"/>
      <c r="D2" s="12"/>
      <c r="E2" s="40"/>
      <c r="F2" s="12"/>
    </row>
    <row r="4" spans="1:6" x14ac:dyDescent="0.25">
      <c r="A4" s="18" t="s">
        <v>118</v>
      </c>
      <c r="B4" s="12"/>
      <c r="C4" s="40"/>
      <c r="D4" s="12"/>
      <c r="E4" s="40"/>
      <c r="F4" s="12"/>
    </row>
    <row r="5" spans="1:6" s="32" customFormat="1" x14ac:dyDescent="0.25">
      <c r="A5" s="21" t="s">
        <v>119</v>
      </c>
      <c r="B5" s="22" t="s">
        <v>120</v>
      </c>
      <c r="C5" s="41" t="s">
        <v>109</v>
      </c>
      <c r="D5" s="22" t="s">
        <v>121</v>
      </c>
      <c r="E5" s="41" t="s">
        <v>109</v>
      </c>
      <c r="F5" s="22" t="s">
        <v>122</v>
      </c>
    </row>
    <row r="6" spans="1:6" x14ac:dyDescent="0.25">
      <c r="A6" s="11" t="s">
        <v>123</v>
      </c>
      <c r="B6" s="16">
        <v>14304</v>
      </c>
      <c r="C6" s="14">
        <v>0.05720620842572062</v>
      </c>
      <c r="D6" s="16">
        <v>13530</v>
      </c>
      <c r="E6" s="14">
        <v>0.08084358523725835</v>
      </c>
      <c r="F6" s="16">
        <v>12518</v>
      </c>
    </row>
    <row r="7" spans="1:6" x14ac:dyDescent="0.25">
      <c r="A7" s="11" t="s">
        <v>124</v>
      </c>
      <c r="B7" s="16">
        <v>18868</v>
      </c>
      <c r="C7" s="14">
        <v>0.032900859473367274</v>
      </c>
      <c r="D7" s="16">
        <v>18267</v>
      </c>
      <c r="E7" s="14">
        <v>0.058772387410885064</v>
      </c>
      <c r="F7" s="16">
        <v>17253</v>
      </c>
    </row>
    <row r="8" spans="1:6" x14ac:dyDescent="0.25">
      <c r="A8" s="11" t="s">
        <v>125</v>
      </c>
      <c r="B8" s="16">
        <v>33172</v>
      </c>
      <c r="C8" s="14">
        <v>0.0432430732459037</v>
      </c>
      <c r="D8" s="16">
        <v>31797</v>
      </c>
      <c r="E8" s="14">
        <v>0.06805280306338383</v>
      </c>
      <c r="F8" s="16">
        <v>29771</v>
      </c>
    </row>
    <row r="10" spans="1:6" x14ac:dyDescent="0.25">
      <c r="A10" s="18" t="s">
        <v>126</v>
      </c>
      <c r="B10" s="12"/>
      <c r="C10" s="40"/>
      <c r="D10" s="12"/>
      <c r="E10" s="40"/>
      <c r="F10" s="12"/>
    </row>
    <row r="11" spans="1:6" s="32" customFormat="1" x14ac:dyDescent="0.25">
      <c r="A11" s="21" t="s">
        <v>119</v>
      </c>
      <c r="B11" s="22" t="s">
        <v>120</v>
      </c>
      <c r="C11" s="41" t="s">
        <v>109</v>
      </c>
      <c r="D11" s="22" t="s">
        <v>121</v>
      </c>
      <c r="E11" s="41" t="s">
        <v>109</v>
      </c>
      <c r="F11" s="22" t="s">
        <v>122</v>
      </c>
    </row>
    <row r="12" spans="1:6" x14ac:dyDescent="0.25">
      <c r="A12" s="11" t="s">
        <v>127</v>
      </c>
      <c r="B12" s="16">
        <v>3374</v>
      </c>
      <c r="C12" s="14">
        <v>0.14179357021996616</v>
      </c>
      <c r="D12" s="16">
        <v>2955</v>
      </c>
      <c r="E12" s="14">
        <v>0.014070006863417982</v>
      </c>
      <c r="F12" s="16">
        <v>2914</v>
      </c>
    </row>
    <row r="13" spans="1:6" x14ac:dyDescent="0.25">
      <c r="A13" s="11" t="s">
        <v>128</v>
      </c>
      <c r="B13" s="16">
        <v>29798</v>
      </c>
      <c r="C13" s="14">
        <v>0.033146106372650995</v>
      </c>
      <c r="D13" s="16">
        <v>28842</v>
      </c>
      <c r="E13" s="14">
        <v>0.07390996760621067</v>
      </c>
      <c r="F13" s="16">
        <v>26857</v>
      </c>
    </row>
    <row r="14" spans="1:6" x14ac:dyDescent="0.25">
      <c r="A14" s="11" t="s">
        <v>125</v>
      </c>
      <c r="B14" s="16">
        <v>33172</v>
      </c>
      <c r="C14" s="14">
        <v>0.0432430732459037</v>
      </c>
      <c r="D14" s="16">
        <v>31797</v>
      </c>
      <c r="E14" s="14">
        <v>0.06805280306338383</v>
      </c>
      <c r="F14" s="16">
        <v>29771</v>
      </c>
    </row>
  </sheetData>
  <pageMargins left="0.7" right="0.7" top="0.75" bottom="0.75" header="0.3" footer="0.3"/>
  <pageSetup orientation="portrait" horizontalDpi="4294967295" verticalDpi="4294967295" scale="100" fitToWidth="1" fitToHeigh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owGridLines="0"/>
  </sheetViews>
  <sheetFormatPr defaultRowHeight="15" outlineLevelRow="0" outlineLevelCol="0" x14ac:dyDescent="55"/>
  <cols>
    <col min="1" max="1" width="28" style="6" customWidth="1"/>
    <col min="2" max="2" width="18" style="7" customWidth="1"/>
    <col min="3" max="3" width="26" style="7" customWidth="1"/>
    <col min="4" max="6" width="18" style="7" customWidth="1"/>
  </cols>
  <sheetData>
    <row r="1" spans="1:6" s="8" customFormat="1" x14ac:dyDescent="0.25">
      <c r="A1" s="9" t="s">
        <v>129</v>
      </c>
      <c r="B1" s="10"/>
      <c r="C1" s="10"/>
      <c r="D1" s="10"/>
      <c r="E1" s="10"/>
      <c r="F1" s="10"/>
    </row>
    <row r="2" spans="1:6" x14ac:dyDescent="0.25">
      <c r="A2" s="11" t="s">
        <v>10</v>
      </c>
      <c r="B2" s="12"/>
      <c r="C2" s="12"/>
      <c r="D2" s="12"/>
      <c r="E2" s="12"/>
      <c r="F2" s="12"/>
    </row>
    <row r="4" spans="1:6" s="32" customFormat="1" x14ac:dyDescent="0.25">
      <c r="A4" s="42" t="s">
        <v>130</v>
      </c>
      <c r="B4" s="36" t="s">
        <v>131</v>
      </c>
      <c r="C4" s="36" t="s">
        <v>132</v>
      </c>
      <c r="D4" s="36"/>
      <c r="E4" s="36"/>
      <c r="F4" s="36"/>
    </row>
    <row r="5" spans="1:6" x14ac:dyDescent="0.25">
      <c r="A5" s="11" t="s">
        <v>133</v>
      </c>
      <c r="B5" s="12" t="s">
        <v>134</v>
      </c>
      <c r="C5" s="12" t="s">
        <v>135</v>
      </c>
      <c r="D5" s="12"/>
      <c r="E5" s="12"/>
      <c r="F5" s="12"/>
    </row>
    <row r="6" spans="1:6" x14ac:dyDescent="0.25">
      <c r="A6" s="11" t="s">
        <v>136</v>
      </c>
      <c r="B6" s="12" t="s">
        <v>137</v>
      </c>
      <c r="C6" s="12" t="s">
        <v>138</v>
      </c>
      <c r="D6" s="12"/>
      <c r="E6" s="12"/>
      <c r="F6" s="12"/>
    </row>
    <row r="7" spans="1:6" x14ac:dyDescent="0.25">
      <c r="A7" s="11" t="s">
        <v>139</v>
      </c>
      <c r="B7" s="12" t="s">
        <v>134</v>
      </c>
      <c r="C7" s="12" t="s">
        <v>140</v>
      </c>
      <c r="D7" s="12"/>
      <c r="E7" s="12"/>
      <c r="F7" s="12"/>
    </row>
    <row r="9" spans="1:6" s="43" customFormat="1" x14ac:dyDescent="0.25">
      <c r="A9" s="44" t="s">
        <v>141</v>
      </c>
      <c r="B9" s="44"/>
      <c r="C9" s="44"/>
      <c r="D9" s="44"/>
      <c r="E9" s="44"/>
      <c r="F9" s="44"/>
    </row>
    <row r="10" spans="1:6" s="32" customFormat="1" x14ac:dyDescent="0.25">
      <c r="A10" s="42" t="s">
        <v>142</v>
      </c>
      <c r="B10" s="36" t="s">
        <v>143</v>
      </c>
      <c r="C10" s="36" t="s">
        <v>144</v>
      </c>
      <c r="D10" s="36" t="s">
        <v>145</v>
      </c>
      <c r="E10" s="36" t="s">
        <v>146</v>
      </c>
      <c r="F10" s="36" t="s">
        <v>147</v>
      </c>
    </row>
    <row r="11" spans="1:6" x14ac:dyDescent="0.25">
      <c r="A11" s="11" t="s">
        <v>133</v>
      </c>
      <c r="B11" s="45">
        <v>28.50461542065771</v>
      </c>
      <c r="C11" s="45">
        <v>46.32000005856878</v>
      </c>
      <c r="D11" s="45">
        <v>81.95076933439091</v>
      </c>
      <c r="E11" s="45">
        <v>156.7753848136174</v>
      </c>
      <c r="F11" s="45">
        <v>252.9784618583372</v>
      </c>
    </row>
    <row r="12" spans="1:6" x14ac:dyDescent="0.25">
      <c r="A12" s="11" t="s">
        <v>136</v>
      </c>
      <c r="B12" s="45">
        <v>42.46256154738986</v>
      </c>
      <c r="C12" s="45">
        <v>53.82578224317025</v>
      </c>
      <c r="D12" s="45">
        <v>89.11157282480409</v>
      </c>
      <c r="E12" s="45">
        <v>152.5063830223157</v>
      </c>
      <c r="F12" s="45">
        <v>192.5766875811202</v>
      </c>
    </row>
    <row r="13" spans="1:6" x14ac:dyDescent="0.25">
      <c r="A13" s="11" t="s">
        <v>139</v>
      </c>
      <c r="B13" s="45">
        <v>31.10844145753616</v>
      </c>
      <c r="C13" s="45">
        <v>44.93441543866334</v>
      </c>
      <c r="D13" s="45">
        <v>72.58636340091772</v>
      </c>
      <c r="E13" s="45">
        <v>120.9772723348628</v>
      </c>
      <c r="F13" s="45">
        <v>183.1941552499352</v>
      </c>
    </row>
  </sheetData>
  <mergeCells count="1">
    <mergeCell ref="A9:F9"/>
  </mergeCells>
  <pageMargins left="0.7" right="0.7" top="0.75" bottom="0.75" header="0.3" footer="0.3"/>
  <pageSetup orientation="portrait" horizontalDpi="4294967295" verticalDpi="4294967295" scale="100" fitToWidth="1" fitToHeigh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workbookViewId="0" showGridLines="0"/>
  </sheetViews>
  <sheetFormatPr defaultRowHeight="15" outlineLevelRow="0" outlineLevelCol="0" x14ac:dyDescent="55"/>
  <cols>
    <col min="1" max="1" width="30" style="6" customWidth="1"/>
    <col min="2" max="5" width="20" style="7" customWidth="1"/>
  </cols>
  <sheetData>
    <row r="1" spans="1:5" s="8" customFormat="1" x14ac:dyDescent="0.25">
      <c r="A1" s="9" t="s">
        <v>148</v>
      </c>
      <c r="B1" s="10"/>
      <c r="C1" s="10"/>
      <c r="D1" s="10"/>
      <c r="E1" s="10"/>
    </row>
    <row r="2" spans="1:5" x14ac:dyDescent="0.25">
      <c r="A2" s="11" t="s">
        <v>10</v>
      </c>
      <c r="B2" s="12"/>
      <c r="C2" s="12"/>
      <c r="D2" s="12"/>
      <c r="E2" s="12"/>
    </row>
    <row r="4" spans="1:5" s="17" customFormat="1" x14ac:dyDescent="0.25">
      <c r="A4" s="18" t="s">
        <v>149</v>
      </c>
      <c r="B4" s="31"/>
      <c r="C4" s="31"/>
      <c r="D4" s="31"/>
      <c r="E4" s="31"/>
    </row>
    <row r="5" spans="1:5" x14ac:dyDescent="0.25">
      <c r="A5" s="11" t="s">
        <v>150</v>
      </c>
      <c r="B5" s="19">
        <v>0.04222000000000001</v>
      </c>
      <c r="C5" s="12"/>
      <c r="D5" s="12"/>
      <c r="E5" s="12"/>
    </row>
    <row r="6" spans="1:5" x14ac:dyDescent="0.25">
      <c r="A6" s="11" t="s">
        <v>151</v>
      </c>
      <c r="B6" s="12" t="s">
        <v>152</v>
      </c>
      <c r="C6" s="12"/>
      <c r="D6" s="12"/>
      <c r="E6" s="12"/>
    </row>
    <row r="7" spans="1:5" x14ac:dyDescent="0.25">
      <c r="A7" s="11" t="s">
        <v>153</v>
      </c>
      <c r="B7" s="19">
        <v>0.003</v>
      </c>
      <c r="C7" s="12"/>
      <c r="D7" s="12"/>
      <c r="E7" s="12"/>
    </row>
    <row r="8" spans="1:5" x14ac:dyDescent="0.25">
      <c r="A8" s="11" t="s">
        <v>154</v>
      </c>
      <c r="B8" s="25">
        <f>=INDEX(B:B,MATCH("Ten-year bond yield",A:A,0))-INDEX(B:B,MATCH("Default spread",A:A,0))</f>
      </c>
      <c r="C8" s="12"/>
      <c r="D8" s="12"/>
      <c r="E8" s="12"/>
    </row>
    <row r="10" spans="1:5" s="17" customFormat="1" x14ac:dyDescent="0.25">
      <c r="A10" s="18" t="s">
        <v>155</v>
      </c>
      <c r="B10" s="31"/>
      <c r="C10" s="31"/>
      <c r="D10" s="31"/>
      <c r="E10" s="31"/>
    </row>
    <row r="11" spans="1:5" s="32" customFormat="1" x14ac:dyDescent="0.25">
      <c r="A11" s="21" t="s">
        <v>119</v>
      </c>
      <c r="B11" s="22" t="s">
        <v>156</v>
      </c>
      <c r="C11" s="22" t="s">
        <v>157</v>
      </c>
      <c r="D11" s="22" t="s">
        <v>158</v>
      </c>
      <c r="E11" s="22" t="s">
        <v>159</v>
      </c>
    </row>
    <row r="12" spans="1:5" x14ac:dyDescent="0.25">
      <c r="A12" s="11" t="s">
        <v>128</v>
      </c>
      <c r="B12" s="20">
        <v>29798</v>
      </c>
      <c r="C12" s="20">
        <v>2.31</v>
      </c>
      <c r="D12" s="25">
        <f>(B12*C12)/SUMPRODUCT(B12:B13,C12:C13)</f>
      </c>
      <c r="E12" s="20">
        <v>1</v>
      </c>
    </row>
    <row r="13" spans="1:5" x14ac:dyDescent="0.25">
      <c r="A13" s="11" t="s">
        <v>127</v>
      </c>
      <c r="B13" s="20">
        <v>3374</v>
      </c>
      <c r="C13" s="20">
        <v>2.31</v>
      </c>
      <c r="D13" s="25">
        <f>(B13*C13)/SUMPRODUCT(B12:B13,C12:C13)</f>
      </c>
      <c r="E13" s="20">
        <v>1.15</v>
      </c>
    </row>
    <row r="15" spans="1:5" x14ac:dyDescent="0.25">
      <c r="A15" s="11" t="s">
        <v>159</v>
      </c>
      <c r="B15" s="46">
        <f>=SUMPRODUCT(INDEX(D:D,MATCH("Segment",A:A,0)+1):INDEX(D:D,MATCH(TRUE,INDEX((INDEX(A:A,MATCH("Segment",A:A,0)+1):A1048576)="",0),0)+MATCH("Segment",A:A,0)+1-1),INDEX(E:E,MATCH("Segment",A:A,0)+1):INDEX(E:E,MATCH(TRUE,INDEX((INDEX(A:A,MATCH("Segment",A:A,0)+1):A1048576)="",0),0)+MATCH("Segment",A:A,0)+1-1))</f>
      </c>
      <c r="C15" s="12"/>
      <c r="D15" s="12"/>
      <c r="E15" s="12"/>
    </row>
    <row r="17" spans="1:5" s="17" customFormat="1" x14ac:dyDescent="0.25">
      <c r="A17" s="18" t="s">
        <v>160</v>
      </c>
      <c r="B17" s="31"/>
      <c r="C17" s="31"/>
      <c r="D17" s="31"/>
      <c r="E17" s="31"/>
    </row>
    <row r="18" spans="1:5" x14ac:dyDescent="0.25">
      <c r="A18" s="11" t="s">
        <v>161</v>
      </c>
      <c r="B18" s="12" t="s">
        <v>162</v>
      </c>
      <c r="C18" s="12"/>
      <c r="D18" s="12"/>
      <c r="E18" s="12"/>
    </row>
    <row r="19" spans="1:5" x14ac:dyDescent="0.25">
      <c r="A19" s="11" t="s">
        <v>163</v>
      </c>
      <c r="B19" s="12" t="s">
        <v>164</v>
      </c>
      <c r="C19" s="12"/>
      <c r="D19" s="12"/>
      <c r="E19" s="12"/>
    </row>
    <row r="21" spans="1:5" s="17" customFormat="1" x14ac:dyDescent="0.25">
      <c r="A21" s="18" t="s">
        <v>165</v>
      </c>
      <c r="B21" s="31"/>
      <c r="C21" s="31"/>
      <c r="D21" s="31"/>
      <c r="E21" s="31"/>
    </row>
    <row r="22" spans="1:5" s="32" customFormat="1" x14ac:dyDescent="0.25">
      <c r="A22" s="21" t="s">
        <v>166</v>
      </c>
      <c r="B22" s="22" t="s">
        <v>156</v>
      </c>
      <c r="C22" s="22" t="s">
        <v>158</v>
      </c>
      <c r="D22" s="22" t="s">
        <v>167</v>
      </c>
      <c r="E22" s="22" t="s">
        <v>168</v>
      </c>
    </row>
    <row r="23" spans="1:5" x14ac:dyDescent="0.25">
      <c r="A23" s="11" t="s">
        <v>169</v>
      </c>
      <c r="B23" s="20">
        <v>14304</v>
      </c>
      <c r="C23" s="25">
        <f>B23/SUM(B23:B24)</f>
      </c>
      <c r="D23" s="19">
        <v>0.069</v>
      </c>
      <c r="E23" s="19">
        <v>0.2557</v>
      </c>
    </row>
    <row r="24" spans="1:5" x14ac:dyDescent="0.25">
      <c r="A24" s="11" t="s">
        <v>152</v>
      </c>
      <c r="B24" s="20">
        <v>18868</v>
      </c>
      <c r="C24" s="25">
        <f>B24/SUM(B23:B24)</f>
      </c>
      <c r="D24" s="19">
        <v>0.0453</v>
      </c>
      <c r="E24" s="19">
        <v>0.21</v>
      </c>
    </row>
    <row r="26" spans="1:5" x14ac:dyDescent="0.25">
      <c r="A26" s="11" t="s">
        <v>170</v>
      </c>
      <c r="B26" s="25">
        <f>=SUMPRODUCT(INDEX(C:C,MATCH("Country",A:A,0)+1):INDEX(C:C,MATCH(TRUE,INDEX((INDEX(A:A,MATCH("Country",A:A,0)+1):A1048576)="",0),0)+MATCH("Country",A:A,0)+1-1),INDEX(D:D,MATCH("Country",A:A,0)+1):INDEX(D:D,MATCH(TRUE,INDEX((INDEX(A:A,MATCH("Country",A:A,0)+1):A1048576)="",0),0)+MATCH("Country",A:A,0)+1-1))</f>
      </c>
      <c r="C26" s="12"/>
      <c r="D26" s="12"/>
      <c r="E26" s="12"/>
    </row>
    <row r="28" spans="1:5" s="17" customFormat="1" x14ac:dyDescent="0.25">
      <c r="A28" s="18" t="s">
        <v>171</v>
      </c>
      <c r="B28" s="31"/>
      <c r="C28" s="31"/>
      <c r="D28" s="31"/>
      <c r="E28" s="31"/>
    </row>
    <row r="29" spans="1:5" x14ac:dyDescent="0.25">
      <c r="A29" s="11" t="s">
        <v>154</v>
      </c>
      <c r="B29" s="25">
        <f>=INDEX(B:B,MATCH("Risk-free rate",A:A,0))</f>
      </c>
      <c r="C29" s="12"/>
      <c r="D29" s="12"/>
      <c r="E29" s="12"/>
    </row>
    <row r="30" spans="1:5" x14ac:dyDescent="0.25">
      <c r="A30" s="11" t="s">
        <v>172</v>
      </c>
      <c r="B30" s="25">
        <f>=INDEX(B:B,MATCH("Equity beta",A:A,0))*INDEX(B:B,MATCH("Equity risk premium",A:A,0))</f>
      </c>
      <c r="C30" s="12"/>
      <c r="D30" s="12"/>
      <c r="E30" s="12"/>
    </row>
    <row r="31" spans="1:5" x14ac:dyDescent="0.25">
      <c r="A31" s="11" t="s">
        <v>159</v>
      </c>
      <c r="B31" s="46">
        <f>=INDEX(B:B,MATCH("Equity beta",A:A,0))</f>
      </c>
      <c r="C31" s="12"/>
      <c r="D31" s="12"/>
      <c r="E31" s="12"/>
    </row>
    <row r="32" spans="1:5" x14ac:dyDescent="0.25">
      <c r="A32" s="11" t="s">
        <v>173</v>
      </c>
      <c r="B32" s="25">
        <f>=INDEX(B:B,MATCH("Company equity risk premium",A:A,0))</f>
      </c>
      <c r="C32" s="12"/>
      <c r="D32" s="12"/>
      <c r="E32" s="12"/>
    </row>
    <row r="33" spans="1:5" x14ac:dyDescent="0.25">
      <c r="A33" s="11" t="s">
        <v>148</v>
      </c>
      <c r="B33" s="25">
        <f>=INDEX(B:B,MATCH("Risk-free rate",A:A,0))+INDEX(B:B,MATCH("Equity beta",A:A,0))*INDEX(B:B,MATCH("Equity risk premium",A:A,0))</f>
      </c>
      <c r="C33" s="12"/>
      <c r="D33" s="12"/>
      <c r="E33" s="12"/>
    </row>
    <row r="35" spans="1:5" s="17" customFormat="1" x14ac:dyDescent="0.25">
      <c r="A35" s="18" t="s">
        <v>174</v>
      </c>
      <c r="B35" s="31"/>
      <c r="C35" s="31"/>
      <c r="D35" s="31"/>
      <c r="E35" s="31"/>
    </row>
    <row r="36" spans="1:5" x14ac:dyDescent="0.25">
      <c r="A36" s="11" t="s">
        <v>154</v>
      </c>
      <c r="B36" s="25">
        <f>=INDEX(B:B,MATCH("Risk-free rate",A:A,0))</f>
      </c>
      <c r="C36" s="12"/>
      <c r="D36" s="12"/>
      <c r="E36" s="12"/>
    </row>
    <row r="37" spans="1:5" x14ac:dyDescent="0.25">
      <c r="A37" s="11" t="s">
        <v>175</v>
      </c>
      <c r="B37" s="25">
        <f>=INDEX(B:B,MATCH("Stable beta (clamped)",A:A,0))*INDEX(B:B,MATCH("Equity risk premium",A:A,0))</f>
      </c>
      <c r="C37" s="12"/>
      <c r="D37" s="12"/>
      <c r="E37" s="12"/>
    </row>
    <row r="38" spans="1:5" x14ac:dyDescent="0.25">
      <c r="A38" s="11" t="s">
        <v>176</v>
      </c>
      <c r="B38" s="46">
        <f>=MIN(MAX(INDEX(B:B,MATCH("Equity beta",A:A,0)),0.8),1.2)</f>
      </c>
      <c r="C38" s="12"/>
      <c r="D38" s="12"/>
      <c r="E38" s="12"/>
    </row>
    <row r="39" spans="1:5" x14ac:dyDescent="0.25">
      <c r="A39" s="11" t="s">
        <v>173</v>
      </c>
      <c r="B39" s="25">
        <f>=INDEX(B:B,MATCH("Company equity risk premium",A:A,0))</f>
      </c>
      <c r="C39" s="12"/>
      <c r="D39" s="12"/>
      <c r="E39" s="12"/>
    </row>
    <row r="40" spans="1:5" x14ac:dyDescent="0.25">
      <c r="A40" s="11" t="s">
        <v>177</v>
      </c>
      <c r="B40" s="25">
        <f>=INDEX(B:B,MATCH("Risk-free rate",A:A,0))+INDEX(B:B,MATCH("Stable beta (clamped)",A:A,0))*INDEX(B:B,MATCH("Equity risk premium",A:A,0))</f>
      </c>
      <c r="C40" s="12"/>
      <c r="D40" s="12"/>
      <c r="E40" s="12"/>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vt:lpstr>
      <vt:lpstr>Summary</vt:lpstr>
      <vt:lpstr>Assumptions</vt:lpstr>
      <vt:lpstr>DCF model</vt:lpstr>
      <vt:lpstr>Other claims</vt:lpstr>
      <vt:lpstr>Financials</vt:lpstr>
      <vt:lpstr>Segments</vt:lpstr>
      <vt:lpstr>Multiples</vt:lpstr>
      <vt:lpstr>Cost of equity</vt:lpstr>
      <vt:lpstr>Scenarios</vt:lpstr>
      <vt:lpstr>Sensitivity</vt:lpstr>
      <vt:lpstr>Reverse DCF</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dc:title/>
  <dc:subject/>
  <dc:description/>
  <cp:keywords/>
  <cp:category/>
  <cp:lastModifiedBy>Unknown</cp:lastModifiedBy>
  <dcterms:created xsi:type="dcterms:W3CDTF">2026-02-05T09:00:07Z</dcterms:created>
  <dcterms:modified xsi:type="dcterms:W3CDTF">2026-02-05T09:00:07Z</dcterms:modified>
</cp:coreProperties>
</file>