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Cover" state="visible" r:id="rId4"/>
    <sheet sheetId="2" name="Summary" state="visible" r:id="rId5"/>
    <sheet sheetId="3" name="Assumptions" state="visible" r:id="rId6"/>
    <sheet sheetId="4" name="DCF model" state="visible" r:id="rId7"/>
    <sheet sheetId="5" name="Other claims" state="visible" r:id="rId8"/>
    <sheet sheetId="6" name="Financials" state="visible" r:id="rId9"/>
    <sheet sheetId="7" name="Segments" state="visible" r:id="rId10"/>
    <sheet sheetId="8" name="Multiples" state="visible" r:id="rId11"/>
    <sheet sheetId="9" name="Cost of equity" state="visible" r:id="rId12"/>
    <sheet sheetId="10" name="Scenarios" state="visible" r:id="rId13"/>
    <sheet sheetId="11" name="Sensitivity" state="visible" r:id="rId14"/>
    <sheet sheetId="12" name="Reverse DCF" state="visible" r:id="rId15"/>
  </sheets>
  <calcPr calcId="171027"/>
</workbook>
</file>

<file path=xl/sharedStrings.xml><?xml version="1.0" encoding="utf-8"?>
<sst xmlns="http://schemas.openxmlformats.org/spreadsheetml/2006/main" count="332" uniqueCount="249">
  <si>
    <t>ValuationBot.ai</t>
  </si>
  <si>
    <t>Snowflake Inc. (SNOW)</t>
  </si>
  <si>
    <t>Analysis ID: 380a1607-1b07-4489-975e-bf208ddb7c55</t>
  </si>
  <si>
    <t>Created: Feb 22, 2026 07:02am</t>
  </si>
  <si>
    <t>User: Edmund Simms</t>
  </si>
  <si>
    <t>Email: edmund.simms@gmail.com</t>
  </si>
  <si>
    <t>View this analysis online</t>
  </si>
  <si>
    <t>© 2025–2026 Lyceum Analytics Ltd. ValuationBot is a trading name of Lyceum Analytics Ltd.</t>
  </si>
  <si>
    <t>Not financial advice. Use at your own risk.</t>
  </si>
  <si>
    <t>Summary</t>
  </si>
  <si>
    <t>(all financial data in US$ millions unless stated otherwise)</t>
  </si>
  <si>
    <t>Company</t>
  </si>
  <si>
    <t>Snowflake Inc.</t>
  </si>
  <si>
    <t>Ticker</t>
  </si>
  <si>
    <t>SNOW</t>
  </si>
  <si>
    <t>Created</t>
  </si>
  <si>
    <t>Feb 22, 2026 07:02am</t>
  </si>
  <si>
    <t>Current price</t>
  </si>
  <si>
    <t>Estimated value</t>
  </si>
  <si>
    <t>Upside</t>
  </si>
  <si>
    <t>Expected IRR</t>
  </si>
  <si>
    <t>Currency</t>
  </si>
  <si>
    <t>USD</t>
  </si>
  <si>
    <t>Valuation date</t>
  </si>
  <si>
    <t>Latest financials date</t>
  </si>
  <si>
    <t>Latest filing</t>
  </si>
  <si>
    <t>10-Q Dec 05, 2025</t>
  </si>
  <si>
    <t>Industry</t>
  </si>
  <si>
    <t>Software - Application</t>
  </si>
  <si>
    <t>Sector</t>
  </si>
  <si>
    <t>Technology</t>
  </si>
  <si>
    <t>Recommendation</t>
  </si>
  <si>
    <t>Strong Sell</t>
  </si>
  <si>
    <t>Exchange</t>
  </si>
  <si>
    <t>NYSE</t>
  </si>
  <si>
    <t>Market cap</t>
  </si>
  <si>
    <t>Share count</t>
  </si>
  <si>
    <t>Assumptions</t>
  </si>
  <si>
    <t>Valuation story</t>
  </si>
  <si>
    <t>Snowflake sits in a scaling growth stage. It keeps winning large enterprises that want a cloud-native data platform that works across clouds, and it lifts usage inside existing customers through new AI and application workloads. Growth stays strong but becomes less explosive because the consumption model makes demand choppy and hyperscalers and Databricks keep pricing and feature pressure high. Profitability improves slowly as operating costs fall as a share of revenue, but the firm keeps investing heavily to defend its platform and expand internationally.</t>
  </si>
  <si>
    <t>Revenue growth rate</t>
  </si>
  <si>
    <t>I treat Snowflake as a growth firm moving into a scaling phase. The analyst revenue path rises from about $4.7B to about $8.7B over three years, which implies a low‑20s percent annual run rate, so a 23% initial growth rate fits a five‑year high‑growth burst before tapering. The consumption model and strong net revenue retention support this, but competition and budget scrutiny stop it from staying near past hypergrowth rates.</t>
  </si>
  <si>
    <t>Stable growth rate</t>
  </si>
  <si>
    <t>I set terminal growth just below the risk‑free rate to reflect a mature software platform that grows a little faster than inflation but not faster than the wider economy forever. Snowflake should still gain from long-run cloud data and AI adoption, but market saturation and hyperscaler bundling cap perpetual growth. This rate stays within the hard constraint and suits a large, established vendor.</t>
  </si>
  <si>
    <t>Years to stability</t>
  </si>
  <si>
    <t>I use a 10‑year path because Snowflake still has meaningful runway in enterprise data platforms, but it is no longer a start-up. With Y = 10, the 23% rate applies for five years, which matches the multi-year analyst trajectory before growth fades towards a low single-digit terminal rate. Competitive pressure and the sheer revenue base make a faster fade more realistic than a 15–20 year glide path.</t>
  </si>
  <si>
    <t>Sales-to-equity ratio</t>
  </si>
  <si>
    <t>Snowflake runs a capital-light model in physical assets, but it reinvests heavily in people, cloud infrastructure commitments, and acquired intangibles. Its adjusted sales to equity has risen from about 0.10 to about 0.44 as it scales, so I assume it keeps improving towards roughly the industry median. Ongoing buybacks and stock-based pay also keep equity dynamics active, which supports a mid-range ratio rather than a top-quartile one.</t>
  </si>
  <si>
    <t>Stable net profit margin</t>
  </si>
  <si>
    <t>I assume Snowflake reaches a mid-teens adjusted net margin once it gets stronger operating leverage and stock-based compensation falls as a share of revenue. This sits near the industry median margin and reflects a durable product gross margin, but it also recognises persistent cloud hosting costs and continued AI investment. The adjusted margin can be higher than GAAP-style consensus because I capitalise major intangible spending rather than expensing it.</t>
  </si>
  <si>
    <t>FY+1 net profit margin</t>
  </si>
  <si>
    <t>I set next year’s adjusted margin slightly above the most recent adjusted level because the company should gain some scale benefits and cost discipline, but it will still fund AI features, GPUs, and international expansion. Consensus net income margins improve over the medium term, yet they sit on a different accounting base that expenses R&amp;D and go-to-market spend, so I do not copy the level. This value creates a credible bridge towards mid‑teens margins without assuming a sudden profit jump.</t>
  </si>
  <si>
    <t>Margin convergence</t>
  </si>
  <si>
    <t>I let margins take most of the growth phase to mature because Snowflake must keep spending to defend share against hyperscalers and Databricks while it broadens use cases. Management signals opex will fall as a share of revenue, but not quickly in absolute terms, and stock-based compensation remains sticky for a while. An eight-year glide gives room for investment early and operating leverage later.</t>
  </si>
  <si>
    <t>Stable ROE</t>
  </si>
  <si>
    <t>I assume a stable ROE modestly above the stable cost of equity because the platform should earn economic rents from switching costs, governance, and ecosystem effects. This level sits below the industry median ROE but above Snowflake’s recent adjusted ROE, which looks temporarily depressed by equity build and heavy reinvestment. It also fits a mature software firm that keeps competing hard and shares some gains with customers through pricing.</t>
  </si>
  <si>
    <t>Credit rating</t>
  </si>
  <si>
    <t>Baa3/BBB-</t>
  </si>
  <si>
    <t>I assign low investment grade because Snowflake has strong liquidity, positive operating cash flow, and only moderate debt in the form of convertibles. The business still faces earnings volatility from the consumption model and heavy operating spend, which stops a higher rating. The large scale and net cash profile support BBB- rather than high yield in a base case.</t>
  </si>
  <si>
    <t>Recovery ratio</t>
  </si>
  <si>
    <t>I assume a mid recovery because Snowflake has meaningful cash and marketable investments and some recoverable enterprise value, but it also has a large share of intangible assets and goodwill. In stress, software IP and customer relationships have value, yet they rarely deliver very high book recoveries. A 55% ratio fits an asset-light software firm with decent liquidity but limited hard collateral.</t>
  </si>
  <si>
    <t>DCF model</t>
  </si>
  <si>
    <t/>
  </si>
  <si>
    <t>Base year</t>
  </si>
  <si>
    <t>Revenue</t>
  </si>
  <si>
    <t>Growth, year-on-year, %</t>
  </si>
  <si>
    <t>Less: All expenses</t>
  </si>
  <si>
    <t>Net profit to common equity</t>
  </si>
  <si>
    <t>Net profit margin, %</t>
  </si>
  <si>
    <t>Less: Net reinvestment</t>
  </si>
  <si>
    <t>Invested common equity</t>
  </si>
  <si>
    <t>Return on common equity, %</t>
  </si>
  <si>
    <t>Sales to equity ratio, x</t>
  </si>
  <si>
    <t>Free cash flow to equity</t>
  </si>
  <si>
    <t>Plus: Stable value</t>
  </si>
  <si>
    <t>Free cash flows to be discounted</t>
  </si>
  <si>
    <t>Multiply: Discount factor</t>
  </si>
  <si>
    <t>Cost of equity, %</t>
  </si>
  <si>
    <t>Present value of free cash flows to equity</t>
  </si>
  <si>
    <t>Sum of PV of FCFE</t>
  </si>
  <si>
    <t>Less: Distress adjustments</t>
  </si>
  <si>
    <t>Distress likelihood, %</t>
  </si>
  <si>
    <t>Recovery ratio, %</t>
  </si>
  <si>
    <t>Adjusted equity value</t>
  </si>
  <si>
    <t>Less: Employee options</t>
  </si>
  <si>
    <t>Less: Unfunded liabilities</t>
  </si>
  <si>
    <t>Value of common shareholders' equity</t>
  </si>
  <si>
    <t>Divide: Share count</t>
  </si>
  <si>
    <t>Equity value per share</t>
  </si>
  <si>
    <t>Other claims</t>
  </si>
  <si>
    <t>Employee stock options</t>
  </si>
  <si>
    <t>Number</t>
  </si>
  <si>
    <t>Strike price</t>
  </si>
  <si>
    <t>Maturity</t>
  </si>
  <si>
    <t>Assumed volatility</t>
  </si>
  <si>
    <t>Assumed dividend yield</t>
  </si>
  <si>
    <t>Value</t>
  </si>
  <si>
    <t>Unfunded liabilities</t>
  </si>
  <si>
    <t>Item</t>
  </si>
  <si>
    <t>Explanation</t>
  </si>
  <si>
    <t>Pension Obligations</t>
  </si>
  <si>
    <t>Post Retirement Benefits</t>
  </si>
  <si>
    <t>Healthcare Liabilities</t>
  </si>
  <si>
    <t>Deferred Compensation</t>
  </si>
  <si>
    <t>Lawsuit Contingencies</t>
  </si>
  <si>
    <t>I used the disclosed reasonably possible loss range of $0 to $25m for the NLRB matter and I used the midpoint as $12.5m. I used a 100% probability because the judge ruled against the company on September 15th 2023, so some payment risk remains even on appeal.</t>
  </si>
  <si>
    <t>Environmental Liabilities</t>
  </si>
  <si>
    <t>Other</t>
  </si>
  <si>
    <t>Financials</t>
  </si>
  <si>
    <t>Fiscal Year</t>
  </si>
  <si>
    <t>YoY Growth</t>
  </si>
  <si>
    <t>Adjusted Net Profit</t>
  </si>
  <si>
    <t>Margin</t>
  </si>
  <si>
    <t>Reinvestment</t>
  </si>
  <si>
    <t>FCFE</t>
  </si>
  <si>
    <t>Adjusted Equity</t>
  </si>
  <si>
    <t>Return on Equity (ROE)</t>
  </si>
  <si>
    <t>Sales to Equity Ratio</t>
  </si>
  <si>
    <t>Segments</t>
  </si>
  <si>
    <t>Geographic segments</t>
  </si>
  <si>
    <t>Segment</t>
  </si>
  <si>
    <t>FY2025</t>
  </si>
  <si>
    <t>FY2024</t>
  </si>
  <si>
    <t>FY2023</t>
  </si>
  <si>
    <t>Asia-Pacific and Japan</t>
  </si>
  <si>
    <t>EMEA</t>
  </si>
  <si>
    <t>UNITED STATES</t>
  </si>
  <si>
    <t>Total</t>
  </si>
  <si>
    <t>Operating segments</t>
  </si>
  <si>
    <t>Product</t>
  </si>
  <si>
    <t>Professional Services And Other</t>
  </si>
  <si>
    <t>Multiples</t>
  </si>
  <si>
    <t>Metric</t>
  </si>
  <si>
    <t>Company multiple</t>
  </si>
  <si>
    <t>Percentile of industry multiples</t>
  </si>
  <si>
    <t>Price-to-sales</t>
  </si>
  <si>
    <t>16.3x</t>
  </si>
  <si>
    <t>88th</t>
  </si>
  <si>
    <t>Price-to-earnings</t>
  </si>
  <si>
    <t>248.9x</t>
  </si>
  <si>
    <t>≥90th</t>
  </si>
  <si>
    <t>Price-to-book</t>
  </si>
  <si>
    <t>7.1x</t>
  </si>
  <si>
    <t>70th</t>
  </si>
  <si>
    <t>Values show the company's implied share price if it traded at the peer multiple for the listed percentile.</t>
  </si>
  <si>
    <t>Implied prices</t>
  </si>
  <si>
    <t>P10</t>
  </si>
  <si>
    <t>P25</t>
  </si>
  <si>
    <t>P50</t>
  </si>
  <si>
    <t>P75</t>
  </si>
  <si>
    <t>P90</t>
  </si>
  <si>
    <t>Cost of equity</t>
  </si>
  <si>
    <t>Risk-free rate calculation</t>
  </si>
  <si>
    <t>Ten-year bond yield</t>
  </si>
  <si>
    <t>Bond yield country</t>
  </si>
  <si>
    <t>United States of America</t>
  </si>
  <si>
    <t>Default spread</t>
  </si>
  <si>
    <t>Risk-free rate</t>
  </si>
  <si>
    <t>Beta calculation</t>
  </si>
  <si>
    <t>Sales</t>
  </si>
  <si>
    <t>EV/Sales</t>
  </si>
  <si>
    <t>Weight</t>
  </si>
  <si>
    <t>Business beta</t>
  </si>
  <si>
    <t>Debt-to-equity ratio</t>
  </si>
  <si>
    <t>Cash-to-firm ratio</t>
  </si>
  <si>
    <t>Marginal tax rate</t>
  </si>
  <si>
    <t>Equity beta</t>
  </si>
  <si>
    <t>Beta selection notes</t>
  </si>
  <si>
    <t>Software - Infrastructure (60th percentile of the industry)</t>
  </si>
  <si>
    <t>The product segment is a data platform sold to enterprises, where usage and new workloads tend to be sensitive to macro conditions and competition, so demand is cyclical for business spending. The cost base is heavily fixed due to ongoing engineering and platform investment, which increases operating leverage and supports a beta above the industry median, but not at the very top end.</t>
  </si>
  <si>
    <t>Consulting Services (50th percentile of the industry)</t>
  </si>
  <si>
    <t>Professional services and training are tied to customers’ IT projects, so demand can soften when budgets tighten, but it is not as discretionary as consumer spending. Costs are mostly people-based and can be flexed over time, so operating leverage is moderate, making the middle of the industry range most suitable.</t>
  </si>
  <si>
    <t>Equity risk premium (ERP) calculation</t>
  </si>
  <si>
    <t>Country</t>
  </si>
  <si>
    <t>ERP</t>
  </si>
  <si>
    <t>Tax rate</t>
  </si>
  <si>
    <t>Europe, Middle East, and Africa (EMEA)</t>
  </si>
  <si>
    <t>Asia-Pacific</t>
  </si>
  <si>
    <t>Company equity risk premium</t>
  </si>
  <si>
    <t>Cost of equity calculation</t>
  </si>
  <si>
    <t>Plus: Equity beta × Equity risk premium</t>
  </si>
  <si>
    <t>Equity risk premium</t>
  </si>
  <si>
    <t>Stable cost of equity calculation</t>
  </si>
  <si>
    <t>Plus: Stable beta (clamped) × Equity risk premium</t>
  </si>
  <si>
    <t>Stable beta (clamped)</t>
  </si>
  <si>
    <t>Stable cost of equity</t>
  </si>
  <si>
    <t>Scenarios</t>
  </si>
  <si>
    <t>Case</t>
  </si>
  <si>
    <t>Per Share</t>
  </si>
  <si>
    <t>Upside %</t>
  </si>
  <si>
    <t>base</t>
  </si>
  <si>
    <t>bear</t>
  </si>
  <si>
    <t>bull</t>
  </si>
  <si>
    <t>Bull-case scenario</t>
  </si>
  <si>
    <t>Value per share</t>
  </si>
  <si>
    <t>Snowflake stays in a scaling growth stage, but the bull case assumes it turns its AI Data Cloud push into a step-up in customer usage and workload breadth. It converts more of its contracted backlog into real consumption as enterprises standardise on Snowflake for governed data sharing and AI applications across clouds. It improves profitability faster because it gets operating leverage in sales and R&amp;D while keeping product gross margin resilient through infrastructure scale and better efficiency. Competition stays intense, but Snowflake holds share through multi-cloud neutrality, Marketplace network effects, and deeper adoption in large and regulated customers.</t>
  </si>
  <si>
    <t>Value driver</t>
  </si>
  <si>
    <t>I frame this as a bullish scaling phase where AI workloads and data sharing drive faster consumption and better churn dynamics. The analyst path rises from about $4.7B to about $10.3B over four steps, which already supports a low-to-mid 20s run rate, and I push it higher by assuming Snowflake captures more of the AI data platform spend and converts more RPO into usage. A 28% rate stays below its earlier hypergrowth but still beats the base case in a plausible way for a platform that keeps adding $1M+ customers and expands internationally.</t>
  </si>
  <si>
    <t>I set terminal growth close to the risk-free rate because this bull case still ends in maturity. I assume Snowflake keeps a modest edge from long-run cloud and AI adoption, but I do not assume it can outgrow the economy forever. This stays within the hard constraint and fits a large software platform that becomes a core data utility.</t>
  </si>
  <si>
    <t>I treat Snowflake as a growth firm with a longer runway in the bull case because AI features, Marketplace network effects, and regulated-industry wins extend the expansion phase. With Y = 12, the 28% rate applies for six years, which I see as aggressive but still plausible given the multi-year revenue trajectory implied by consensus and the large RPO base. I then taper growth as the revenue base becomes much larger and competition bites.</t>
  </si>
  <si>
    <t>I assume better capital efficiency as Snowflake scales because it grows revenue faster than adjusted equity, helped by strong operating cash flow and buybacks that stop equity from compounding too quickly. The historical ratio improved from about 0.10 to about 0.44, so moving towards the industry 60th percentile range fits a bull case where execution tightens and reinvestment becomes more repeatable. The model still stays realistic because Snowflake remains people and platform heavy, even after capitalising intangibles.</t>
  </si>
  <si>
    <t>I assume Snowflake reaches an adjusted net margin above the industry median because operating leverage shows up once AI and platform investments mature and stock-based pay falls as a share of revenue. The product mix stays dominant and gross margin improves with scale and better infrastructure efficiency, while services remain a small drag. This sits below top-decile software margins, so it stays plausible even with strong execution and ongoing cloud hosting costs.</t>
  </si>
  <si>
    <t>I lift next year’s adjusted margin from the recent adjusted level because management signals opex falls as a share of revenue and operating leverage has started to show in non-GAAP results. I do not chase a step-change because AI and GPU spending stays heavy and consensus margins use expensed R&amp;D and go-to-market spend, which differs from the adjusted base I use. This creates a credible bridge towards a low-20s stable margin without assuming costs suddenly vanish.</t>
  </si>
  <si>
    <t>I assume faster margin improvement than the base case because scale benefits arrive sooner when consumption growth stays strong and sales efficiency improves with a larger partner ecosystem. Stock-based pay still takes time to dilute down, so I avoid a rapid jump to mature margins. Seven years fits a bull case where Snowflake keeps investing early but starts harvesting operating leverage before the end of the high-growth phase.</t>
  </si>
  <si>
    <t>I assume Snowflake earns a stable ROE well above the stable cost of equity because the platform keeps pricing power in core workloads and benefits from switching costs and governance lock-in. This level aligns with an above-average software franchise but stays below the industry upper percentiles, which makes it plausible in a competitive market with hyperscalers. Higher margins and better capital efficiency together justify the higher ROE in the bull case.</t>
  </si>
  <si>
    <t>Baa1/BBB+</t>
  </si>
  <si>
    <t>I assume a stronger investment grade profile because Snowflake keeps a large net cash buffer, grows operating cash flow, and uses convertibles in a controlled way while maintaining buyback flexibility. Higher and more stable profitability reduces the risk from the consumption model and supports better coverage metrics. The rating stops at BBB+ because the business still depends on third-party cloud infrastructure and faces intense competition.</t>
  </si>
  <si>
    <t>I assume a slightly higher recovery because stronger recurring enterprise relationships and a larger customer base raise going-concern value in stress. Cash and investments also support recoveries, even though the asset base remains mostly intangible. I keep the uplift modest because software firms still have limited hard collateral.</t>
  </si>
  <si>
    <t>Bear-case scenario</t>
  </si>
  <si>
    <t>Snowflake moves from late growth into an early maturity phase faster than investors expect. Customers rein in cloud spend and optimise workloads, so the consumption model delivers choppy revenue and weaker net revenue retention. Hyperscalers and Databricks push harder on bundling and price, which limits Snowflake’s ability to monetise new AI features and forces higher go-to-market spend to defend renewals. Costs tied to stock-based pay and AI infrastructure stay sticky, so profit improvement comes later and peaks at a lower level than in a benign path.</t>
  </si>
  <si>
    <t>I assume the consumption model turns more volatile and large customers optimise workloads, so usage growth slows even with decent backlog. The analyst revenue path still implies strong growth from roughly $4.7B to about $10.3B over several years, but in a bear case I haircut that trajectory and set a mid-teens pace as a plausible five-year CAGR before it fades.</t>
  </si>
  <si>
    <t>I keep terminal growth close to the risk-free rate and below it, because even in a bear case a scaled data platform should grow roughly with the wider economy in the long run. I do not assume perpetual share gains once hyperscalers bundle harder and switching costs weaken via open formats.</t>
  </si>
  <si>
    <t>I treat Snowflake as a late growth firm that hits maturity faster because competition and procurement scrutiny shorten the period of above-trend growth. With Y = 8, the 16% rate applies for four years, which fits a bear view where the analyst multi-year ramp proves too optimistic and growth normalises earlier.</t>
  </si>
  <si>
    <t>I assume Snowflake needs more equity-funded reinvestment and faces less favourable working capital and buyback optics, so sales scale less efficiently against book equity. The historical adjusted sales to equity rose to about 0.44, but I keep it below the industry median because slower growth and ongoing platform spend reduce capital efficiency.</t>
  </si>
  <si>
    <t>I assume durable gross margin but weaker operating leverage because stock-based pay stays high and AI infrastructure costs remain sticky. That keeps the adjusted steady-state margin below the base case and closer to the lower-middle of industry outcomes, despite the benefit from capitalising intangible spend in the adjusted numbers.</t>
  </si>
  <si>
    <t>I assume near-term margin pressure from AI feature build, GPU and cloud costs, and pricing concessions to defend renewals, so the adjusted margin dips versus the most recent level. Analysts expect improving net income over time on an expensed-cost basis, but I still set a soft next-year bridge because the bear case delays operating discipline.</t>
  </si>
  <si>
    <t>I bring convergence forward because management would likely respond to weaker demand with tighter hiring and sales efficiency, even while it protects core R&amp;D. That creates a quicker move towards the lower stable margin, rather than a long glide to a higher target.</t>
  </si>
  <si>
    <t>I assume Snowflake earns only a small spread over the stable cost of equity because competitive pressure and bundling limit pricing power in maturity. This keeps stable ROE below the base case and nearer to an industry median outcome, while still avoiding a value-destroying perpetual state.</t>
  </si>
  <si>
    <t>Ba1/BB+</t>
  </si>
  <si>
    <t>I assume cash flow becomes more volatile and the company relies more on financial flexibility while it carries convertible notes and continues buybacks. Strong liquidity helps, but weaker profitability and higher business risk from consumption variability justify a one-notch move into high yield in a bear case.</t>
  </si>
  <si>
    <t>I assume lower recovery because enterprise value falls more sharply in stress for an asset-light software firm with high intangibles and limited hard collateral. Cash and customer relationships still have value, but I do not assume a mid-50s recovery when competition erodes franchise strength.</t>
  </si>
  <si>
    <t>Sensitivity</t>
  </si>
  <si>
    <t xml:space="preserve">Stable growth rate →
↓ Cost of equity</t>
  </si>
  <si>
    <t>Note: Green cells indicate scenarios where the calculated intrinsic value per share is above the current market price, suggesting potential undervaluation. Red cells indicate scenarios where the intrinsic value is below the market price, suggesting potential overvaluation.</t>
  </si>
  <si>
    <t>Reverse DCF</t>
  </si>
  <si>
    <t>Driver</t>
  </si>
  <si>
    <t>Base Value</t>
  </si>
  <si>
    <t>Market Implied</t>
  </si>
  <si>
    <t>Difference</t>
  </si>
  <si>
    <t>Monte-Carlo simulation percentile distribution</t>
  </si>
  <si>
    <t>Percentile</t>
  </si>
  <si>
    <t>Price</t>
  </si>
  <si>
    <t>P0</t>
  </si>
  <si>
    <t>P5</t>
  </si>
  <si>
    <t>P15</t>
  </si>
  <si>
    <t>P20</t>
  </si>
  <si>
    <t>P30</t>
  </si>
  <si>
    <t>P35</t>
  </si>
  <si>
    <t>P40</t>
  </si>
  <si>
    <t>P45</t>
  </si>
  <si>
    <t>P55</t>
  </si>
  <si>
    <t>P60</t>
  </si>
  <si>
    <t>P65</t>
  </si>
  <si>
    <t>P70</t>
  </si>
  <si>
    <t>P80</t>
  </si>
  <si>
    <t>P85</t>
  </si>
  <si>
    <t>P95</t>
  </si>
  <si>
    <t>P100</t>
  </si>
  <si>
    <t>The Monte Carlo distribution maps simulated prices to percentiles. Recommendations follow these: below the 10th is a Strong Buy, below the 25th a Buy, the 25th–75th a Hold, the 75th–90th a Sell, and anything higher a Strong Sell. Green shading indicates buy zones, gray indicates hold, and red indicates sell zones.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</si>
</sst>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quot;US$&quot;#,##0.00"/>
    <numFmt numFmtId="165" formatCode="0.0%"/>
    <numFmt numFmtId="166" formatCode="yyyy-mm-dd"/>
    <numFmt numFmtId="167" formatCode="#,##0.0"/>
    <numFmt numFmtId="168" formatCode="0.0"/>
    <numFmt numFmtId="169" formatCode="0.000"/>
    <numFmt numFmtId="170" formatCode="&quot;US$&quot;#,##0"/>
    <numFmt numFmtId="171" formatCode="&quot;US$&quot;#,##0.0"/>
    <numFmt numFmtId="172" formatCode="#0.0"/>
  </numFmts>
  <fonts count="19" x14ac:knownFonts="1">
    <font>
      <color theme="1"/>
      <family val="2"/>
      <scheme val="minor"/>
      <sz val="11"/>
      <name val="Calibri"/>
    </font>
    <font>
      <b/>
      <color rgb="FF0284c7"/>
      <sz val="32"/>
    </font>
    <font>
      <b/>
      <color rgb="FF111827"/>
      <sz val="26"/>
    </font>
    <font>
      <color rgb="FF111827"/>
      <sz val="12"/>
    </font>
    <font>
      <u/>
      <color rgb="FF0284c7"/>
      <sz val="12"/>
    </font>
    <font>
      <color rgb="FF111827"/>
      <sz val="10"/>
    </font>
    <font>
      <b/>
      <color rgb="FFFFFFFF"/>
      <sz val="26"/>
    </font>
    <font>
      <sz val="12"/>
    </font>
    <font>
      <color rgb="FF1F4E79"/>
      <sz val="12"/>
    </font>
    <font>
      <b/>
      <u/>
    </font>
    <font>
      <b/>
      <u/>
      <sz val="12"/>
    </font>
    <font>
      <b/>
      <sz val="12"/>
    </font>
    <font>
      <b/>
      <color rgb="FF000000"/>
      <sz val="12"/>
    </font>
    <font>
      <color rgb="FF000000"/>
      <sz val="12"/>
    </font>
    <font>
      <b/>
    </font>
    <font>
      <b/>
      <color rgb="FF1F4E79"/>
      <sz val="12"/>
    </font>
    <font>
      <i/>
    </font>
    <font>
      <i/>
      <sz val="12"/>
    </font>
    <font>
      <sz val="10"/>
    </font>
  </fonts>
  <fills count="11">
    <fill>
      <patternFill patternType="none"/>
    </fill>
    <fill>
      <patternFill patternType="gray125"/>
    </fill>
    <fill>
      <patternFill patternType="solid">
        <fgColor rgb="FF0284c7"/>
      </patternFill>
    </fill>
    <fill>
      <patternFill patternType="solid">
        <fgColor rgb="FFFFFDE6"/>
      </patternFill>
    </fill>
    <fill>
      <patternFill patternType="solid">
        <fgColor rgb="FFFCE5CD"/>
      </patternFill>
    </fill>
    <fill>
      <patternFill patternType="solid">
        <fgColor rgb="FFFFE6E6"/>
      </patternFill>
    </fill>
    <fill>
      <patternFill patternType="solid">
        <fgColor rgb="FF198754"/>
      </patternFill>
    </fill>
    <fill>
      <patternFill patternType="solid">
        <fgColor rgb="FFD1E7DD"/>
      </patternFill>
    </fill>
    <fill>
      <patternFill patternType="solid">
        <fgColor rgb="FFE5E7EB"/>
      </patternFill>
    </fill>
    <fill>
      <patternFill patternType="solid">
        <fgColor rgb="FFF8D7DA"/>
      </patternFill>
    </fill>
    <fill>
      <patternFill patternType="solid">
        <fgColor rgb="FFDC3545"/>
      </patternFill>
    </fill>
  </fills>
  <borders count="5">
    <border>
      <left/>
      <right/>
      <top/>
      <bottom/>
      <diagonal/>
    </border>
    <border>
      <left/>
      <right/>
      <top/>
      <bottom style="thin">
        <color rgb="FF0284c7"/>
      </bottom>
      <diagonal/>
    </border>
    <border>
      <left style="thin">
        <color rgb="FF000000"/>
      </left>
      <right style="thin">
        <color rgb="FF000000"/>
      </right>
      <top style="thin">
        <color rgb="FF000000"/>
      </top>
      <bottom style="thin">
        <color rgb="FF000000"/>
      </bottom>
      <diagonal/>
    </border>
    <border>
      <left/>
      <right/>
      <top/>
      <bottom style="thin"/>
      <diagonal/>
    </border>
    <border>
      <left/>
      <right style="thin"/>
      <top/>
      <bottom/>
      <diagonal/>
    </border>
  </borders>
  <cellStyleXfs count="1">
    <xf numFmtId="0" fontId="0" fillId="0" borderId="0"/>
  </cellStyleXfs>
  <cellXfs count="77">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left"/>
    </xf>
    <xf numFmtId="0" fontId="0" fillId="0" borderId="0" xfId="0" applyAlignment="1">
      <alignment horizontal="right"/>
    </xf>
    <xf numFmtId="0" fontId="6" fillId="2" borderId="1" xfId="0" applyFont="1" applyFill="1" applyBorder="1" applyAlignment="1">
      <alignment horizontal="left" vertical="center"/>
    </xf>
    <xf numFmtId="0" fontId="6" fillId="2" borderId="1" xfId="0" applyFont="1" applyFill="1" applyBorder="1" applyAlignment="1">
      <alignment horizontal="left"/>
    </xf>
    <xf numFmtId="0" fontId="6" fillId="2" borderId="1" xfId="0" applyFont="1" applyFill="1" applyBorder="1" applyAlignment="1">
      <alignment horizontal="right"/>
    </xf>
    <xf numFmtId="0" fontId="7" fillId="0" borderId="0" xfId="0" applyFont="1" applyAlignment="1">
      <alignment horizontal="left"/>
    </xf>
    <xf numFmtId="0" fontId="7" fillId="0" borderId="0" xfId="0" applyFont="1" applyAlignment="1">
      <alignment horizontal="right"/>
    </xf>
    <xf numFmtId="164" fontId="8" fillId="0" borderId="0" xfId="0" applyNumberFormat="1" applyFont="1" applyAlignment="1">
      <alignment horizontal="right"/>
    </xf>
    <xf numFmtId="165" fontId="8" fillId="0" borderId="0" xfId="0" applyNumberFormat="1" applyFont="1" applyAlignment="1">
      <alignment horizontal="right"/>
    </xf>
    <xf numFmtId="166" fontId="7" fillId="0" borderId="0" xfId="0" applyNumberFormat="1" applyFont="1" applyAlignment="1">
      <alignment horizontal="right"/>
    </xf>
    <xf numFmtId="167" fontId="8" fillId="0" borderId="0" xfId="0" applyNumberFormat="1" applyFont="1" applyAlignment="1">
      <alignment horizontal="right"/>
    </xf>
    <xf numFmtId="0" fontId="9" fillId="0" borderId="0" xfId="0" applyFont="1"/>
    <xf numFmtId="0" fontId="10" fillId="0" borderId="0" xfId="0" applyFont="1" applyAlignment="1">
      <alignment horizontal="left"/>
    </xf>
    <xf numFmtId="165" fontId="8" fillId="3" borderId="2" xfId="0" applyNumberFormat="1" applyFont="1" applyFill="1" applyBorder="1" applyAlignment="1">
      <alignment horizontal="right"/>
    </xf>
    <xf numFmtId="167" fontId="8" fillId="3" borderId="2" xfId="0" applyNumberFormat="1" applyFont="1" applyFill="1" applyBorder="1" applyAlignment="1">
      <alignment horizontal="right"/>
    </xf>
    <xf numFmtId="0" fontId="11" fillId="0" borderId="3" xfId="0" applyFont="1" applyBorder="1" applyAlignment="1">
      <alignment horizontal="left"/>
    </xf>
    <xf numFmtId="0" fontId="11" fillId="0" borderId="3" xfId="0" applyFont="1" applyBorder="1" applyAlignment="1">
      <alignment horizontal="right"/>
    </xf>
    <xf numFmtId="0" fontId="12" fillId="0" borderId="3" xfId="0" applyFont="1" applyBorder="1" applyAlignment="1">
      <alignment horizontal="right"/>
    </xf>
    <xf numFmtId="3" fontId="13" fillId="0" borderId="0" xfId="0" applyNumberFormat="1" applyFont="1" applyAlignment="1">
      <alignment horizontal="right"/>
    </xf>
    <xf numFmtId="165" fontId="13" fillId="0" borderId="0" xfId="0" applyNumberFormat="1" applyFont="1" applyAlignment="1">
      <alignment horizontal="right"/>
    </xf>
    <xf numFmtId="168" fontId="13" fillId="0" borderId="0" xfId="0" applyNumberFormat="1" applyFont="1" applyAlignment="1">
      <alignment horizontal="right"/>
    </xf>
    <xf numFmtId="169" fontId="13" fillId="0" borderId="0" xfId="0" applyNumberFormat="1" applyFont="1" applyAlignment="1">
      <alignment horizontal="right"/>
    </xf>
    <xf numFmtId="3" fontId="8" fillId="0" borderId="0" xfId="0" applyNumberFormat="1" applyFont="1" applyAlignment="1">
      <alignment horizontal="right"/>
    </xf>
    <xf numFmtId="167" fontId="13" fillId="0" borderId="0" xfId="0" applyNumberFormat="1" applyFont="1" applyAlignment="1">
      <alignment horizontal="right"/>
    </xf>
    <xf numFmtId="164" fontId="13" fillId="4" borderId="0" xfId="0" applyNumberFormat="1" applyFont="1" applyFill="1" applyAlignment="1">
      <alignment horizontal="right"/>
    </xf>
    <xf numFmtId="0" fontId="10" fillId="0" borderId="0" xfId="0" applyFont="1" applyAlignment="1">
      <alignment horizontal="right"/>
    </xf>
    <xf numFmtId="0" fontId="14" fillId="0" borderId="0" xfId="0" applyFont="1"/>
    <xf numFmtId="3" fontId="8" fillId="0" borderId="0" xfId="0" applyNumberFormat="1" applyFont="1" applyAlignment="1">
      <alignment horizontal="left"/>
    </xf>
    <xf numFmtId="1" fontId="8" fillId="0" borderId="0" xfId="0" applyNumberFormat="1" applyFont="1" applyAlignment="1">
      <alignment horizontal="left"/>
    </xf>
    <xf numFmtId="164" fontId="7" fillId="0" borderId="0" xfId="0" applyNumberFormat="1" applyFont="1" applyAlignment="1">
      <alignment horizontal="right"/>
    </xf>
    <xf numFmtId="0" fontId="11" fillId="0" borderId="0" xfId="0" applyFont="1" applyAlignment="1">
      <alignment horizontal="right"/>
    </xf>
    <xf numFmtId="1" fontId="15" fillId="0" borderId="3" xfId="0" applyNumberFormat="1" applyFont="1" applyBorder="1" applyAlignment="1">
      <alignment horizontal="right"/>
    </xf>
    <xf numFmtId="165" fontId="0" fillId="0" borderId="0" xfId="0" applyNumberFormat="1" applyAlignment="1">
      <alignment horizontal="right"/>
    </xf>
    <xf numFmtId="165" fontId="6" fillId="2" borderId="1" xfId="0" applyNumberFormat="1" applyFont="1" applyFill="1" applyBorder="1" applyAlignment="1">
      <alignment horizontal="right"/>
    </xf>
    <xf numFmtId="165" fontId="7" fillId="0" borderId="0" xfId="0" applyNumberFormat="1" applyFont="1" applyAlignment="1">
      <alignment horizontal="right"/>
    </xf>
    <xf numFmtId="165" fontId="11" fillId="0" borderId="3" xfId="0" applyNumberFormat="1" applyFont="1" applyBorder="1" applyAlignment="1">
      <alignment horizontal="right"/>
    </xf>
    <xf numFmtId="0" fontId="11" fillId="0" borderId="0" xfId="0" applyFont="1" applyAlignment="1">
      <alignment horizontal="left"/>
    </xf>
    <xf numFmtId="0" fontId="16" fillId="0" borderId="0" xfId="0" applyFont="1"/>
    <xf numFmtId="0" fontId="17" fillId="0" borderId="0" xfId="0" applyFont="1" applyAlignment="1">
      <alignment horizontal="right"/>
    </xf>
    <xf numFmtId="170" fontId="8" fillId="0" borderId="0" xfId="0" applyNumberFormat="1" applyFont="1" applyAlignment="1">
      <alignment horizontal="right"/>
    </xf>
    <xf numFmtId="171" fontId="8" fillId="0" borderId="0" xfId="0" applyNumberFormat="1" applyFont="1" applyAlignment="1">
      <alignment horizontal="right"/>
    </xf>
    <xf numFmtId="172" fontId="13" fillId="0" borderId="0" xfId="0" applyNumberFormat="1" applyFont="1" applyAlignment="1">
      <alignment horizontal="right"/>
    </xf>
    <xf numFmtId="164" fontId="0" fillId="0" borderId="0" xfId="0" applyNumberFormat="1" applyAlignment="1">
      <alignment horizontal="right"/>
    </xf>
    <xf numFmtId="165" fontId="0" fillId="0" borderId="0" xfId="0" applyNumberFormat="1" applyAlignment="1">
      <alignment horizontal="left"/>
    </xf>
    <xf numFmtId="164" fontId="6" fillId="2" borderId="1" xfId="0" applyNumberFormat="1" applyFont="1" applyFill="1" applyBorder="1" applyAlignment="1">
      <alignment horizontal="right"/>
    </xf>
    <xf numFmtId="165" fontId="6" fillId="2" borderId="1" xfId="0" applyNumberFormat="1" applyFont="1" applyFill="1" applyBorder="1" applyAlignment="1">
      <alignment horizontal="left"/>
    </xf>
    <xf numFmtId="165" fontId="7" fillId="0" borderId="0" xfId="0" applyNumberFormat="1" applyFont="1" applyAlignment="1">
      <alignment horizontal="left"/>
    </xf>
    <xf numFmtId="164" fontId="11" fillId="0" borderId="3" xfId="0" applyNumberFormat="1" applyFont="1" applyBorder="1" applyAlignment="1">
      <alignment horizontal="right"/>
    </xf>
    <xf numFmtId="165" fontId="11" fillId="0" borderId="3" xfId="0" applyNumberFormat="1" applyFont="1" applyBorder="1" applyAlignment="1">
      <alignment horizontal="left"/>
    </xf>
    <xf numFmtId="165" fontId="8" fillId="0" borderId="0" xfId="0" applyNumberFormat="1" applyFont="1" applyAlignment="1">
      <alignment horizontal="left"/>
    </xf>
    <xf numFmtId="164" fontId="10" fillId="0" borderId="0" xfId="0" applyNumberFormat="1" applyFont="1" applyAlignment="1">
      <alignment horizontal="right"/>
    </xf>
    <xf numFmtId="165" fontId="10" fillId="0" borderId="0" xfId="0" applyNumberFormat="1" applyFont="1" applyAlignment="1">
      <alignment horizontal="left"/>
    </xf>
    <xf numFmtId="10" fontId="11" fillId="0" borderId="3" xfId="0" applyNumberFormat="1" applyFont="1" applyBorder="1" applyAlignment="1">
      <alignment horizontal="right"/>
    </xf>
    <xf numFmtId="165" fontId="11" fillId="0" borderId="4" xfId="0" applyNumberFormat="1" applyFont="1" applyBorder="1" applyAlignment="1">
      <alignment horizontal="left"/>
    </xf>
    <xf numFmtId="164" fontId="7" fillId="5" borderId="0" xfId="0" applyNumberFormat="1" applyFont="1" applyFill="1" applyAlignment="1">
      <alignment horizontal="right"/>
    </xf>
    <xf numFmtId="0" fontId="5" fillId="0" borderId="0" xfId="0" applyFont="1"/>
    <xf numFmtId="0" fontId="5" fillId="0" borderId="0" xfId="0" applyFont="1" applyAlignment="1">
      <alignment horizontal="left"/>
    </xf>
    <xf numFmtId="0" fontId="5" fillId="0" borderId="0" xfId="0" applyFont="1" applyAlignment="1">
      <alignment horizontal="right"/>
    </xf>
    <xf numFmtId="167" fontId="0" fillId="0" borderId="0" xfId="0" applyNumberFormat="1" applyAlignment="1">
      <alignment horizontal="right"/>
    </xf>
    <xf numFmtId="167" fontId="6" fillId="2" borderId="1" xfId="0" applyNumberFormat="1" applyFont="1" applyFill="1" applyBorder="1" applyAlignment="1">
      <alignment horizontal="right"/>
    </xf>
    <xf numFmtId="167" fontId="7" fillId="0" borderId="0" xfId="0" applyNumberFormat="1" applyFont="1" applyAlignment="1">
      <alignment horizontal="right"/>
    </xf>
    <xf numFmtId="167" fontId="11" fillId="0" borderId="3" xfId="0" applyNumberFormat="1" applyFont="1" applyBorder="1" applyAlignment="1">
      <alignment horizontal="right"/>
    </xf>
    <xf numFmtId="168" fontId="8" fillId="0" borderId="0" xfId="0" applyNumberFormat="1" applyFont="1" applyAlignment="1">
      <alignment horizontal="right"/>
    </xf>
    <xf numFmtId="167" fontId="10" fillId="0" borderId="0" xfId="0" applyNumberFormat="1" applyFont="1" applyAlignment="1">
      <alignment horizontal="right"/>
    </xf>
    <xf numFmtId="167" fontId="11" fillId="0" borderId="0" xfId="0" applyNumberFormat="1" applyFont="1" applyAlignment="1">
      <alignment horizontal="right"/>
    </xf>
    <xf numFmtId="164" fontId="7" fillId="6" borderId="0" xfId="0" applyNumberFormat="1" applyFont="1" applyFill="1" applyAlignment="1">
      <alignment horizontal="right"/>
    </xf>
    <xf numFmtId="164" fontId="7" fillId="7" borderId="0" xfId="0" applyNumberFormat="1" applyFont="1" applyFill="1" applyAlignment="1">
      <alignment horizontal="right"/>
    </xf>
    <xf numFmtId="164" fontId="7" fillId="8" borderId="0" xfId="0" applyNumberFormat="1" applyFont="1" applyFill="1" applyAlignment="1">
      <alignment horizontal="right"/>
    </xf>
    <xf numFmtId="164" fontId="7" fillId="9" borderId="0" xfId="0" applyNumberFormat="1" applyFont="1" applyFill="1" applyAlignment="1">
      <alignment horizontal="right"/>
    </xf>
    <xf numFmtId="164" fontId="7" fillId="10" borderId="0" xfId="0" applyNumberFormat="1" applyFont="1" applyFill="1" applyAlignment="1">
      <alignment horizontal="right"/>
    </xf>
    <xf numFmtId="0" fontId="18"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valuationbot.ai/analysis/380a1607-1b07-4489-975e-bf208ddb7c55/results" TargetMode="External"/><Relationship Id="rId2" Type="http://schemas.openxmlformats.org/officeDocument/2006/relationships/hyperlink" Target="https://valuationbot.a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owGridLines="0"/>
  </sheetViews>
  <sheetFormatPr defaultRowHeight="15" outlineLevelRow="0" outlineLevelCol="0" x14ac:dyDescent="55"/>
  <cols>
    <col min="1" max="2" width="50" customWidth="1"/>
  </cols>
  <sheetData>
    <row r="1" spans="1:2" x14ac:dyDescent="0.25">
      <c r="A1" s="1" t="s">
        <v>0</v>
      </c>
      <c r="B1" s="1"/>
    </row>
    <row r="2" spans="1:2" x14ac:dyDescent="0.25">
      <c r="A2" s="2" t="s">
        <v>1</v>
      </c>
      <c r="B2" s="2"/>
    </row>
    <row r="3" spans="1:2" x14ac:dyDescent="0.25">
      <c r="A3" s="3" t="s">
        <v>2</v>
      </c>
      <c r="B3" s="3"/>
    </row>
    <row r="4" spans="1:2" x14ac:dyDescent="0.25">
      <c r="A4" s="3" t="s">
        <v>3</v>
      </c>
      <c r="B4" s="3"/>
    </row>
    <row r="5" spans="1:2" x14ac:dyDescent="0.25">
      <c r="A5" s="3" t="s">
        <v>4</v>
      </c>
      <c r="B5" s="3"/>
    </row>
    <row r="6" spans="1:2" x14ac:dyDescent="0.25">
      <c r="A6" s="3" t="s">
        <v>5</v>
      </c>
      <c r="B6" s="3"/>
    </row>
    <row r="7" spans="1:2" x14ac:dyDescent="0.25">
      <c r="A7" s="4" t="s">
        <v>6</v>
      </c>
      <c r="B7" s="4"/>
    </row>
    <row r="8" spans="1:2" x14ac:dyDescent="0.25">
      <c r="A8" s="4" t="s">
        <v>0</v>
      </c>
      <c r="B8" s="4"/>
    </row>
    <row r="9" spans="1:2" x14ac:dyDescent="0.25">
      <c r="A9" s="5" t="s">
        <v>7</v>
      </c>
      <c r="B9" s="5"/>
    </row>
    <row r="10" spans="1:2" x14ac:dyDescent="0.25">
      <c r="A10" s="5" t="s">
        <v>8</v>
      </c>
      <c r="B10" s="5"/>
    </row>
  </sheetData>
  <mergeCells count="10">
    <mergeCell ref="A1:B1"/>
    <mergeCell ref="A2:B2"/>
    <mergeCell ref="A3:B3"/>
    <mergeCell ref="A4:B4"/>
    <mergeCell ref="A5:B5"/>
    <mergeCell ref="A6:B6"/>
    <mergeCell ref="A7:B7"/>
    <mergeCell ref="A8:B8"/>
    <mergeCell ref="A9:B9"/>
    <mergeCell ref="A10:B10"/>
  </mergeCells>
  <hyperlinks>
    <hyperlink ref="A7" r:id="rId1"/>
    <hyperlink ref="A8" r:id="rId2"/>
  </hyperlinks>
  <pageMargins left="0.7" right="0.7" top="0.75" bottom="0.75" header="0.3" footer="0.3"/>
  <pageSetup orientation="portrait" horizontalDpi="4294967295" verticalDpi="4294967295" scale="100" fitToWidth="1" fitToHeigh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howGridLines="0"/>
  </sheetViews>
  <sheetFormatPr defaultRowHeight="15" outlineLevelRow="0" outlineLevelCol="0" x14ac:dyDescent="55"/>
  <cols>
    <col min="1" max="1" width="20" style="6" customWidth="1"/>
    <col min="2" max="2" width="15" style="48" customWidth="1"/>
    <col min="3" max="3" width="15" style="49" customWidth="1"/>
  </cols>
  <sheetData>
    <row r="1" spans="1:3" s="8" customFormat="1" x14ac:dyDescent="0.25">
      <c r="A1" s="9" t="s">
        <v>186</v>
      </c>
      <c r="B1" s="50"/>
      <c r="C1" s="51"/>
    </row>
    <row r="2" spans="1:3" x14ac:dyDescent="0.25">
      <c r="A2" s="11" t="s">
        <v>10</v>
      </c>
      <c r="B2" s="35"/>
      <c r="C2" s="52"/>
    </row>
    <row r="4" spans="1:3" s="32" customFormat="1" x14ac:dyDescent="0.25">
      <c r="A4" s="21" t="s">
        <v>187</v>
      </c>
      <c r="B4" s="53" t="s">
        <v>188</v>
      </c>
      <c r="C4" s="54" t="s">
        <v>189</v>
      </c>
    </row>
    <row r="5" spans="1:3" x14ac:dyDescent="0.25">
      <c r="A5" s="11" t="s">
        <v>190</v>
      </c>
      <c r="B5" s="13">
        <v>8.918608267053884</v>
      </c>
      <c r="C5" s="55">
        <v>-0.9482979230895427</v>
      </c>
    </row>
    <row r="6" spans="1:3" x14ac:dyDescent="0.25">
      <c r="A6" s="11" t="s">
        <v>191</v>
      </c>
      <c r="B6" s="13">
        <v>-6.925538243691287</v>
      </c>
      <c r="C6" s="55">
        <v>-1</v>
      </c>
    </row>
    <row r="7" spans="1:3" x14ac:dyDescent="0.25">
      <c r="A7" s="11" t="s">
        <v>192</v>
      </c>
      <c r="B7" s="13">
        <v>67.8916629518595</v>
      </c>
      <c r="C7" s="55">
        <v>-0.6064251423080609</v>
      </c>
    </row>
    <row r="9" spans="1:3" x14ac:dyDescent="0.25">
      <c r="A9" s="18" t="s">
        <v>193</v>
      </c>
      <c r="B9" s="35"/>
      <c r="C9" s="52"/>
    </row>
    <row r="10" spans="1:3" x14ac:dyDescent="0.25">
      <c r="A10" s="11" t="s">
        <v>194</v>
      </c>
      <c r="B10" s="13">
        <v>67.8916629518595</v>
      </c>
      <c r="C10" s="52"/>
    </row>
    <row r="11" spans="1:3" x14ac:dyDescent="0.25">
      <c r="A11" s="11" t="s">
        <v>189</v>
      </c>
      <c r="B11" s="14">
        <v>-0.6064251423080609</v>
      </c>
      <c r="C11" s="52"/>
    </row>
    <row r="12" spans="1:3" x14ac:dyDescent="0.25">
      <c r="A12" s="11" t="s">
        <v>195</v>
      </c>
      <c r="B12" s="35"/>
      <c r="C12" s="52"/>
    </row>
    <row r="13" spans="1:3" s="17" customFormat="1" x14ac:dyDescent="0.25">
      <c r="A13" s="18" t="s">
        <v>196</v>
      </c>
      <c r="B13" s="56" t="s">
        <v>96</v>
      </c>
      <c r="C13" s="57" t="s">
        <v>99</v>
      </c>
    </row>
    <row r="14" spans="1:3" x14ac:dyDescent="0.25">
      <c r="A14" s="11" t="s">
        <v>40</v>
      </c>
      <c r="B14" s="14">
        <v>0.28</v>
      </c>
      <c r="C14" s="52" t="s">
        <v>197</v>
      </c>
    </row>
    <row r="15" spans="1:3" x14ac:dyDescent="0.25">
      <c r="A15" s="11" t="s">
        <v>42</v>
      </c>
      <c r="B15" s="14">
        <v>0.035</v>
      </c>
      <c r="C15" s="52" t="s">
        <v>198</v>
      </c>
    </row>
    <row r="16" spans="1:3" x14ac:dyDescent="0.25">
      <c r="A16" s="11" t="s">
        <v>44</v>
      </c>
      <c r="B16" s="16">
        <v>12</v>
      </c>
      <c r="C16" s="52" t="s">
        <v>199</v>
      </c>
    </row>
    <row r="17" spans="1:3" x14ac:dyDescent="0.25">
      <c r="A17" s="11" t="s">
        <v>46</v>
      </c>
      <c r="B17" s="16">
        <v>0.78</v>
      </c>
      <c r="C17" s="52" t="s">
        <v>200</v>
      </c>
    </row>
    <row r="18" spans="1:3" x14ac:dyDescent="0.25">
      <c r="A18" s="11" t="s">
        <v>48</v>
      </c>
      <c r="B18" s="14">
        <v>0.22</v>
      </c>
      <c r="C18" s="52" t="s">
        <v>201</v>
      </c>
    </row>
    <row r="19" spans="1:3" x14ac:dyDescent="0.25">
      <c r="A19" s="11" t="s">
        <v>50</v>
      </c>
      <c r="B19" s="14">
        <v>0.105</v>
      </c>
      <c r="C19" s="52" t="s">
        <v>202</v>
      </c>
    </row>
    <row r="20" spans="1:3" x14ac:dyDescent="0.25">
      <c r="A20" s="11" t="s">
        <v>52</v>
      </c>
      <c r="B20" s="16">
        <v>7</v>
      </c>
      <c r="C20" s="52" t="s">
        <v>203</v>
      </c>
    </row>
    <row r="21" spans="1:3" x14ac:dyDescent="0.25">
      <c r="A21" s="11" t="s">
        <v>54</v>
      </c>
      <c r="B21" s="14">
        <v>0.16</v>
      </c>
      <c r="C21" s="52" t="s">
        <v>204</v>
      </c>
    </row>
    <row r="22" spans="1:3" x14ac:dyDescent="0.25">
      <c r="A22" s="11" t="s">
        <v>56</v>
      </c>
      <c r="B22" s="35" t="s">
        <v>205</v>
      </c>
      <c r="C22" s="52" t="s">
        <v>206</v>
      </c>
    </row>
    <row r="23" spans="1:3" x14ac:dyDescent="0.25">
      <c r="A23" s="11" t="s">
        <v>59</v>
      </c>
      <c r="B23" s="14">
        <v>0.58</v>
      </c>
      <c r="C23" s="52" t="s">
        <v>207</v>
      </c>
    </row>
    <row r="25" spans="1:3" x14ac:dyDescent="0.25">
      <c r="A25" s="18" t="s">
        <v>208</v>
      </c>
      <c r="B25" s="35"/>
      <c r="C25" s="52"/>
    </row>
    <row r="26" spans="1:3" x14ac:dyDescent="0.25">
      <c r="A26" s="11" t="s">
        <v>194</v>
      </c>
      <c r="B26" s="13">
        <v>-6.925538243691287</v>
      </c>
      <c r="C26" s="52"/>
    </row>
    <row r="27" spans="1:3" x14ac:dyDescent="0.25">
      <c r="A27" s="11" t="s">
        <v>189</v>
      </c>
      <c r="B27" s="14">
        <v>-1</v>
      </c>
      <c r="C27" s="52"/>
    </row>
    <row r="28" spans="1:3" x14ac:dyDescent="0.25">
      <c r="A28" s="11" t="s">
        <v>209</v>
      </c>
      <c r="B28" s="35"/>
      <c r="C28" s="52"/>
    </row>
    <row r="29" spans="1:3" s="17" customFormat="1" x14ac:dyDescent="0.25">
      <c r="A29" s="18" t="s">
        <v>196</v>
      </c>
      <c r="B29" s="56" t="s">
        <v>96</v>
      </c>
      <c r="C29" s="57" t="s">
        <v>99</v>
      </c>
    </row>
    <row r="30" spans="1:3" x14ac:dyDescent="0.25">
      <c r="A30" s="11" t="s">
        <v>40</v>
      </c>
      <c r="B30" s="14">
        <v>0.16</v>
      </c>
      <c r="C30" s="52" t="s">
        <v>210</v>
      </c>
    </row>
    <row r="31" spans="1:3" x14ac:dyDescent="0.25">
      <c r="A31" s="11" t="s">
        <v>42</v>
      </c>
      <c r="B31" s="14">
        <v>0.032</v>
      </c>
      <c r="C31" s="52" t="s">
        <v>211</v>
      </c>
    </row>
    <row r="32" spans="1:3" x14ac:dyDescent="0.25">
      <c r="A32" s="11" t="s">
        <v>44</v>
      </c>
      <c r="B32" s="16">
        <v>8</v>
      </c>
      <c r="C32" s="52" t="s">
        <v>212</v>
      </c>
    </row>
    <row r="33" spans="1:3" x14ac:dyDescent="0.25">
      <c r="A33" s="11" t="s">
        <v>46</v>
      </c>
      <c r="B33" s="16">
        <v>0.55</v>
      </c>
      <c r="C33" s="52" t="s">
        <v>213</v>
      </c>
    </row>
    <row r="34" spans="1:3" x14ac:dyDescent="0.25">
      <c r="A34" s="11" t="s">
        <v>48</v>
      </c>
      <c r="B34" s="14">
        <v>0.11</v>
      </c>
      <c r="C34" s="52" t="s">
        <v>214</v>
      </c>
    </row>
    <row r="35" spans="1:3" x14ac:dyDescent="0.25">
      <c r="A35" s="11" t="s">
        <v>50</v>
      </c>
      <c r="B35" s="14">
        <v>0.04</v>
      </c>
      <c r="C35" s="52" t="s">
        <v>215</v>
      </c>
    </row>
    <row r="36" spans="1:3" x14ac:dyDescent="0.25">
      <c r="A36" s="11" t="s">
        <v>52</v>
      </c>
      <c r="B36" s="16">
        <v>6</v>
      </c>
      <c r="C36" s="52" t="s">
        <v>216</v>
      </c>
    </row>
    <row r="37" spans="1:3" x14ac:dyDescent="0.25">
      <c r="A37" s="11" t="s">
        <v>54</v>
      </c>
      <c r="B37" s="14">
        <v>0.1</v>
      </c>
      <c r="C37" s="52" t="s">
        <v>217</v>
      </c>
    </row>
    <row r="38" spans="1:3" x14ac:dyDescent="0.25">
      <c r="A38" s="11" t="s">
        <v>56</v>
      </c>
      <c r="B38" s="35" t="s">
        <v>218</v>
      </c>
      <c r="C38" s="52" t="s">
        <v>219</v>
      </c>
    </row>
    <row r="39" spans="1:3" x14ac:dyDescent="0.25">
      <c r="A39" s="11" t="s">
        <v>59</v>
      </c>
      <c r="B39" s="14">
        <v>0.45</v>
      </c>
      <c r="C39" s="52" t="s">
        <v>220</v>
      </c>
    </row>
  </sheetData>
  <pageMargins left="0.7" right="0.7" top="0.75" bottom="0.75" header="0.3" footer="0.3"/>
  <pageSetup orientation="portrait" horizontalDpi="4294967295" verticalDpi="4294967295" scale="100" fitToWidth="1" fitToHeigh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howGridLines="0"/>
  </sheetViews>
  <sheetFormatPr defaultRowHeight="15" outlineLevelRow="0" outlineLevelCol="0" x14ac:dyDescent="55"/>
  <cols>
    <col min="1" max="1" width="25" style="6" customWidth="1"/>
    <col min="2" max="9" width="15" style="7" customWidth="1"/>
  </cols>
  <sheetData>
    <row r="1" spans="1:9" s="8" customFormat="1" x14ac:dyDescent="0.25">
      <c r="A1" s="9" t="s">
        <v>221</v>
      </c>
      <c r="B1" s="10"/>
      <c r="C1" s="10"/>
      <c r="D1" s="10"/>
      <c r="E1" s="10"/>
      <c r="F1" s="10"/>
      <c r="G1" s="10"/>
      <c r="H1" s="10"/>
      <c r="I1" s="10"/>
    </row>
    <row r="2" spans="1:9" x14ac:dyDescent="0.25">
      <c r="A2" s="11" t="s">
        <v>10</v>
      </c>
      <c r="B2" s="12"/>
      <c r="C2" s="12"/>
      <c r="D2" s="12"/>
      <c r="E2" s="12"/>
      <c r="F2" s="12"/>
      <c r="G2" s="12"/>
      <c r="H2" s="12"/>
      <c r="I2" s="12"/>
    </row>
    <row r="4" spans="1:9" x14ac:dyDescent="0.25">
      <c r="A4" s="21" t="s">
        <v>222</v>
      </c>
      <c r="B4" s="58">
        <v>0.002</v>
      </c>
      <c r="C4" s="58">
        <v>0.007</v>
      </c>
      <c r="D4" s="58">
        <v>0.012</v>
      </c>
      <c r="E4" s="58">
        <v>0.017</v>
      </c>
      <c r="F4" s="58">
        <v>0.022</v>
      </c>
      <c r="G4" s="58">
        <v>0.027</v>
      </c>
      <c r="H4" s="58">
        <v>0.032</v>
      </c>
      <c r="I4" s="58">
        <v>0.037</v>
      </c>
    </row>
    <row r="5" spans="1:9" x14ac:dyDescent="0.25">
      <c r="A5" s="59">
        <v>0.0924</v>
      </c>
      <c r="B5" s="60">
        <v>12.97829883890787</v>
      </c>
      <c r="C5" s="60">
        <v>13.7447151836107</v>
      </c>
      <c r="D5" s="60">
        <v>14.59658030337961</v>
      </c>
      <c r="E5" s="60">
        <v>15.55024800055521</v>
      </c>
      <c r="F5" s="60">
        <v>16.62670210232474</v>
      </c>
      <c r="G5" s="60">
        <v>17.8533261320185</v>
      </c>
      <c r="H5" s="60">
        <v>19.2665519546515</v>
      </c>
      <c r="I5" s="60">
        <v>20.91594270534536</v>
      </c>
    </row>
    <row r="6" spans="1:9" x14ac:dyDescent="0.25">
      <c r="A6" s="59">
        <v>0.1024</v>
      </c>
      <c r="B6" s="60">
        <v>7.136722834023117</v>
      </c>
      <c r="C6" s="60">
        <v>7.562108152809263</v>
      </c>
      <c r="D6" s="60">
        <v>8.026533857976386</v>
      </c>
      <c r="E6" s="60">
        <v>8.536332512517983</v>
      </c>
      <c r="F6" s="60">
        <v>9.099399084383737</v>
      </c>
      <c r="G6" s="60">
        <v>9.72570881275531</v>
      </c>
      <c r="H6" s="60">
        <v>10.42805575473763</v>
      </c>
      <c r="I6" s="60">
        <v>11.22313011360191</v>
      </c>
    </row>
    <row r="7" spans="1:9" x14ac:dyDescent="0.25">
      <c r="A7" s="59">
        <v>0.1124</v>
      </c>
      <c r="B7" s="60">
        <v>2.565790776892221</v>
      </c>
      <c r="C7" s="60">
        <v>2.772463183315899</v>
      </c>
      <c r="D7" s="60">
        <v>2.993132603344187</v>
      </c>
      <c r="E7" s="60">
        <v>3.229567019030954</v>
      </c>
      <c r="F7" s="60">
        <v>3.48391501495533</v>
      </c>
      <c r="G7" s="60">
        <v>3.758817055407763</v>
      </c>
      <c r="H7" s="60">
        <v>4.057558281916215</v>
      </c>
      <c r="I7" s="60">
        <v>4.384282104477225</v>
      </c>
    </row>
    <row r="8" spans="1:9" x14ac:dyDescent="0.25">
      <c r="A8" s="59">
        <v>0.1224</v>
      </c>
      <c r="B8" s="60">
        <v>-1.0661210634416</v>
      </c>
      <c r="C8" s="60">
        <v>-1.001841018846785</v>
      </c>
      <c r="D8" s="60">
        <v>-0.937208969993544</v>
      </c>
      <c r="E8" s="60">
        <v>-0.8725360891024262</v>
      </c>
      <c r="F8" s="60">
        <v>-0.8082042937225183</v>
      </c>
      <c r="G8" s="60">
        <v>-0.7446849018330062</v>
      </c>
      <c r="H8" s="60">
        <v>-0.682563478615766</v>
      </c>
      <c r="I8" s="60">
        <v>-0.622573412471478</v>
      </c>
    </row>
    <row r="9" spans="1:9" x14ac:dyDescent="0.25">
      <c r="A9" s="59">
        <v>0.1324</v>
      </c>
      <c r="B9" s="60">
        <v>-3.987722258253996</v>
      </c>
      <c r="C9" s="60">
        <v>-4.01674757075573</v>
      </c>
      <c r="D9" s="60">
        <v>-4.052765044165114</v>
      </c>
      <c r="E9" s="60">
        <v>-4.096988045570555</v>
      </c>
      <c r="F9" s="60">
        <v>-4.150857109030279</v>
      </c>
      <c r="G9" s="60">
        <v>-4.216093914593635</v>
      </c>
      <c r="H9" s="60">
        <v>-4.294771397192837</v>
      </c>
      <c r="I9" s="60">
        <v>-4.389405903074151</v>
      </c>
    </row>
    <row r="10" spans="1:9" x14ac:dyDescent="0.25">
      <c r="A10" s="59">
        <v>0.1424</v>
      </c>
      <c r="B10" s="60">
        <v>-6.361562675910652</v>
      </c>
      <c r="C10" s="60">
        <v>-6.451561362631204</v>
      </c>
      <c r="D10" s="60">
        <v>-6.552326253940846</v>
      </c>
      <c r="E10" s="60">
        <v>-6.665403959131132</v>
      </c>
      <c r="F10" s="60">
        <v>-6.792604229428607</v>
      </c>
      <c r="G10" s="60">
        <v>-6.936057046260561</v>
      </c>
      <c r="H10" s="60">
        <v>-7.098285223208443</v>
      </c>
      <c r="I10" s="60">
        <v>-7.282297673254452</v>
      </c>
    </row>
    <row r="11" spans="1:9" x14ac:dyDescent="0.25">
      <c r="A11" s="59">
        <v>0.1524</v>
      </c>
      <c r="B11" s="60">
        <v>-8.30611428687955</v>
      </c>
      <c r="C11" s="60">
        <v>-8.43539281419917</v>
      </c>
      <c r="D11" s="60">
        <v>-8.577158907669675</v>
      </c>
      <c r="E11" s="60">
        <v>-8.733017462930796</v>
      </c>
      <c r="F11" s="60">
        <v>-8.904824843471497</v>
      </c>
      <c r="G11" s="60">
        <v>-9.094739083355236</v>
      </c>
      <c r="H11" s="60">
        <v>-9.305282599414776</v>
      </c>
      <c r="I11" s="60">
        <v>-9.53942120695117</v>
      </c>
    </row>
    <row r="12" spans="1:9" x14ac:dyDescent="0.25">
      <c r="A12" s="59">
        <v>0.1624</v>
      </c>
      <c r="B12" s="60">
        <v>-9.909584628295024</v>
      </c>
      <c r="C12" s="60">
        <v>-10.06338316337467</v>
      </c>
      <c r="D12" s="60">
        <v>-10.23020577714359</v>
      </c>
      <c r="E12" s="60">
        <v>-10.41158681310907</v>
      </c>
      <c r="F12" s="60">
        <v>-10.609283751979</v>
      </c>
      <c r="G12" s="60">
        <v>-10.82531847091395</v>
      </c>
      <c r="H12" s="60">
        <v>-11.06202799535277</v>
      </c>
      <c r="I12" s="60">
        <v>-11.32212739285493</v>
      </c>
    </row>
    <row r="13" spans="1:9" x14ac:dyDescent="0.25">
      <c r="A13" s="59">
        <v>0.1724</v>
      </c>
      <c r="B13" s="60">
        <v>-11.23885940507029</v>
      </c>
      <c r="C13" s="60">
        <v>-11.4070367903493</v>
      </c>
      <c r="D13" s="60">
        <v>-11.58809725180108</v>
      </c>
      <c r="E13" s="60">
        <v>-11.78344946502492</v>
      </c>
      <c r="F13" s="60">
        <v>-11.99469337877519</v>
      </c>
      <c r="G13" s="60">
        <v>-12.22365315376879</v>
      </c>
      <c r="H13" s="60">
        <v>-12.47241714005565</v>
      </c>
      <c r="I13" s="60">
        <v>-12.74338671237472</v>
      </c>
    </row>
    <row r="14" spans="1:9" x14ac:dyDescent="0.25">
      <c r="A14" s="59">
        <v>0.1824</v>
      </c>
      <c r="B14" s="60">
        <v>-12.34546496762955</v>
      </c>
      <c r="C14" s="60">
        <v>-12.52101311915128</v>
      </c>
      <c r="D14" s="60">
        <v>-12.70892709475456</v>
      </c>
      <c r="E14" s="60">
        <v>-12.9104720029946</v>
      </c>
      <c r="F14" s="60">
        <v>-13.12707412707769</v>
      </c>
      <c r="G14" s="60">
        <v>-13.36034689841344</v>
      </c>
      <c r="H14" s="60">
        <v>-13.61212205136976</v>
      </c>
      <c r="I14" s="60">
        <v>-13.8844872064259</v>
      </c>
    </row>
    <row r="15" spans="1:9" x14ac:dyDescent="0.25">
      <c r="A15" s="59">
        <v>0.1924</v>
      </c>
      <c r="B15" s="60">
        <v>-13.26964689878013</v>
      </c>
      <c r="C15" s="60">
        <v>-13.4477154373638</v>
      </c>
      <c r="D15" s="60">
        <v>-13.6374368723908</v>
      </c>
      <c r="E15" s="60">
        <v>-13.83993326356888</v>
      </c>
      <c r="F15" s="60">
        <v>-14.05646136107933</v>
      </c>
      <c r="G15" s="60">
        <v>-14.28843300267607</v>
      </c>
      <c r="H15" s="60">
        <v>-14.53743932597111</v>
      </c>
      <c r="I15" s="60">
        <v>-14.80527965518353</v>
      </c>
    </row>
    <row r="17" spans="1:9" s="61" customFormat="1" x14ac:dyDescent="0.25">
      <c r="A17" s="62" t="s">
        <v>223</v>
      </c>
      <c r="B17" s="63"/>
      <c r="C17" s="63"/>
      <c r="D17" s="63"/>
      <c r="E17" s="63"/>
      <c r="F17" s="63"/>
      <c r="G17" s="63"/>
      <c r="H17" s="63"/>
      <c r="I17" s="63"/>
    </row>
  </sheetData>
  <pageMargins left="0.7" right="0.7" top="0.75" bottom="0.75" header="0.3" footer="0.3"/>
  <pageSetup orientation="portrait" horizontalDpi="4294967295" verticalDpi="4294967295" scale="100" fitToWidth="1" fitToHeight="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howGridLines="0"/>
  </sheetViews>
  <sheetFormatPr defaultRowHeight="15" outlineLevelRow="0" outlineLevelCol="0" x14ac:dyDescent="55"/>
  <cols>
    <col min="1" max="1" width="25" style="6" customWidth="1"/>
    <col min="2" max="4" width="15" style="64" customWidth="1"/>
  </cols>
  <sheetData>
    <row r="1" spans="1:4" s="8" customFormat="1" x14ac:dyDescent="0.25">
      <c r="A1" s="9" t="s">
        <v>224</v>
      </c>
      <c r="B1" s="65"/>
      <c r="C1" s="65"/>
      <c r="D1" s="65"/>
    </row>
    <row r="2" spans="1:4" x14ac:dyDescent="0.25">
      <c r="A2" s="11" t="s">
        <v>10</v>
      </c>
      <c r="B2" s="66"/>
      <c r="C2" s="66"/>
      <c r="D2" s="66"/>
    </row>
    <row r="4" spans="1:4" x14ac:dyDescent="0.25">
      <c r="A4" s="11" t="s">
        <v>20</v>
      </c>
      <c r="B4" s="14">
        <v>0.0507297569513321</v>
      </c>
      <c r="C4" s="66" t="s">
        <v>62</v>
      </c>
      <c r="D4" s="66" t="s">
        <v>62</v>
      </c>
    </row>
    <row r="6" spans="1:4" s="32" customFormat="1" x14ac:dyDescent="0.25">
      <c r="A6" s="21" t="s">
        <v>225</v>
      </c>
      <c r="B6" s="67" t="s">
        <v>226</v>
      </c>
      <c r="C6" s="67" t="s">
        <v>227</v>
      </c>
      <c r="D6" s="67" t="s">
        <v>228</v>
      </c>
    </row>
    <row r="7" spans="1:4" x14ac:dyDescent="0.25">
      <c r="A7" s="11" t="s">
        <v>48</v>
      </c>
      <c r="B7" s="14">
        <v>0.16</v>
      </c>
      <c r="C7" s="14">
        <v>0.5388940693525686</v>
      </c>
      <c r="D7" s="14">
        <v>0.37889406935256853</v>
      </c>
    </row>
    <row r="8" spans="1:4" x14ac:dyDescent="0.25">
      <c r="A8" s="11" t="s">
        <v>46</v>
      </c>
      <c r="B8" s="68">
        <v>0.65</v>
      </c>
      <c r="C8" s="68">
        <v>2.189257156744817</v>
      </c>
      <c r="D8" s="68">
        <v>1.5392571567448172</v>
      </c>
    </row>
    <row r="9" spans="1:4" x14ac:dyDescent="0.25">
      <c r="A9" s="11" t="s">
        <v>54</v>
      </c>
      <c r="B9" s="14">
        <v>0.12</v>
      </c>
      <c r="C9" s="14">
        <v>0.4041705520144283</v>
      </c>
      <c r="D9" s="14">
        <v>0.2841705520144283</v>
      </c>
    </row>
    <row r="11" spans="1:4" s="17" customFormat="1" x14ac:dyDescent="0.25">
      <c r="A11" s="18" t="s">
        <v>229</v>
      </c>
      <c r="B11" s="69"/>
      <c r="C11" s="69"/>
      <c r="D11" s="69"/>
    </row>
    <row r="12" spans="1:4" s="32" customFormat="1" x14ac:dyDescent="0.25">
      <c r="A12" s="21" t="s">
        <v>230</v>
      </c>
      <c r="B12" s="67" t="s">
        <v>231</v>
      </c>
      <c r="C12" s="70"/>
      <c r="D12" s="70"/>
    </row>
    <row r="13" spans="1:4" x14ac:dyDescent="0.25">
      <c r="A13" s="11" t="s">
        <v>232</v>
      </c>
      <c r="B13" s="71">
        <v>-68.84256448311251</v>
      </c>
      <c r="C13" s="66"/>
      <c r="D13" s="66"/>
    </row>
    <row r="14" spans="1:4" x14ac:dyDescent="0.25">
      <c r="A14" s="11" t="s">
        <v>233</v>
      </c>
      <c r="B14" s="71">
        <v>-19.68976076432676</v>
      </c>
      <c r="C14" s="66"/>
      <c r="D14" s="66"/>
    </row>
    <row r="15" spans="1:4" x14ac:dyDescent="0.25">
      <c r="A15" s="11" t="s">
        <v>146</v>
      </c>
      <c r="B15" s="72">
        <v>-12.92411427425436</v>
      </c>
      <c r="C15" s="66"/>
      <c r="D15" s="66"/>
    </row>
    <row r="16" spans="1:4" x14ac:dyDescent="0.25">
      <c r="A16" s="11" t="s">
        <v>234</v>
      </c>
      <c r="B16" s="72">
        <v>-8.924471257332462</v>
      </c>
      <c r="C16" s="66"/>
      <c r="D16" s="66"/>
    </row>
    <row r="17" spans="1:4" x14ac:dyDescent="0.25">
      <c r="A17" s="11" t="s">
        <v>235</v>
      </c>
      <c r="B17" s="72">
        <v>-5.631927956150985</v>
      </c>
      <c r="C17" s="66"/>
      <c r="D17" s="66"/>
    </row>
    <row r="18" spans="1:4" x14ac:dyDescent="0.25">
      <c r="A18" s="11" t="s">
        <v>147</v>
      </c>
      <c r="B18" s="73">
        <v>-3.056659468784006</v>
      </c>
      <c r="C18" s="66"/>
      <c r="D18" s="66"/>
    </row>
    <row r="19" spans="1:4" x14ac:dyDescent="0.25">
      <c r="A19" s="11" t="s">
        <v>236</v>
      </c>
      <c r="B19" s="73">
        <v>-0.8034866705646952</v>
      </c>
      <c r="C19" s="66"/>
      <c r="D19" s="66"/>
    </row>
    <row r="20" spans="1:4" x14ac:dyDescent="0.25">
      <c r="A20" s="11" t="s">
        <v>237</v>
      </c>
      <c r="B20" s="73">
        <v>1.298982008389429</v>
      </c>
      <c r="C20" s="66"/>
      <c r="D20" s="66"/>
    </row>
    <row r="21" spans="1:4" x14ac:dyDescent="0.25">
      <c r="A21" s="11" t="s">
        <v>238</v>
      </c>
      <c r="B21" s="73">
        <v>3.343844880696307</v>
      </c>
      <c r="C21" s="66"/>
      <c r="D21" s="66"/>
    </row>
    <row r="22" spans="1:4" x14ac:dyDescent="0.25">
      <c r="A22" s="11" t="s">
        <v>239</v>
      </c>
      <c r="B22" s="73">
        <v>5.308724653703446</v>
      </c>
      <c r="C22" s="66"/>
      <c r="D22" s="66"/>
    </row>
    <row r="23" spans="1:4" x14ac:dyDescent="0.25">
      <c r="A23" s="11" t="s">
        <v>148</v>
      </c>
      <c r="B23" s="73">
        <v>7.300778324485949</v>
      </c>
      <c r="C23" s="66"/>
      <c r="D23" s="66"/>
    </row>
    <row r="24" spans="1:4" x14ac:dyDescent="0.25">
      <c r="A24" s="11" t="s">
        <v>240</v>
      </c>
      <c r="B24" s="73">
        <v>9.248132859725557</v>
      </c>
      <c r="C24" s="66"/>
      <c r="D24" s="66"/>
    </row>
    <row r="25" spans="1:4" x14ac:dyDescent="0.25">
      <c r="A25" s="11" t="s">
        <v>241</v>
      </c>
      <c r="B25" s="73">
        <v>11.15937760025647</v>
      </c>
      <c r="C25" s="66"/>
      <c r="D25" s="66"/>
    </row>
    <row r="26" spans="1:4" x14ac:dyDescent="0.25">
      <c r="A26" s="11" t="s">
        <v>242</v>
      </c>
      <c r="B26" s="73">
        <v>13.34176473906166</v>
      </c>
      <c r="C26" s="66"/>
      <c r="D26" s="66"/>
    </row>
    <row r="27" spans="1:4" x14ac:dyDescent="0.25">
      <c r="A27" s="11" t="s">
        <v>243</v>
      </c>
      <c r="B27" s="73">
        <v>15.66363196224329</v>
      </c>
      <c r="C27" s="66"/>
      <c r="D27" s="66"/>
    </row>
    <row r="28" spans="1:4" x14ac:dyDescent="0.25">
      <c r="A28" s="11" t="s">
        <v>149</v>
      </c>
      <c r="B28" s="74">
        <v>18.31511339852278</v>
      </c>
      <c r="C28" s="66"/>
      <c r="D28" s="66"/>
    </row>
    <row r="29" spans="1:4" x14ac:dyDescent="0.25">
      <c r="A29" s="11" t="s">
        <v>244</v>
      </c>
      <c r="B29" s="74">
        <v>21.2547610718774</v>
      </c>
      <c r="C29" s="66"/>
      <c r="D29" s="66"/>
    </row>
    <row r="30" spans="1:4" x14ac:dyDescent="0.25">
      <c r="A30" s="11" t="s">
        <v>245</v>
      </c>
      <c r="B30" s="74">
        <v>25.03144281202006</v>
      </c>
      <c r="C30" s="66"/>
      <c r="D30" s="66"/>
    </row>
    <row r="31" spans="1:4" x14ac:dyDescent="0.25">
      <c r="A31" s="11" t="s">
        <v>150</v>
      </c>
      <c r="B31" s="75">
        <v>29.62912736020686</v>
      </c>
      <c r="C31" s="66"/>
      <c r="D31" s="66"/>
    </row>
    <row r="32" spans="1:4" x14ac:dyDescent="0.25">
      <c r="A32" s="11" t="s">
        <v>246</v>
      </c>
      <c r="B32" s="75">
        <v>38.40735073324992</v>
      </c>
      <c r="C32" s="66"/>
      <c r="D32" s="66"/>
    </row>
    <row r="33" spans="1:4" x14ac:dyDescent="0.25">
      <c r="A33" s="11" t="s">
        <v>247</v>
      </c>
      <c r="B33" s="75">
        <v>125.1630641942563</v>
      </c>
      <c r="C33" s="66"/>
      <c r="D33" s="66"/>
    </row>
    <row r="34" spans="1:4" x14ac:dyDescent="0.25">
      <c r="A34" s="76" t="s">
        <v>248</v>
      </c>
      <c r="B34" s="66"/>
      <c r="C34" s="66"/>
      <c r="D34" s="66"/>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howGridLines="0"/>
  </sheetViews>
  <sheetFormatPr defaultRowHeight="15" outlineLevelRow="0" outlineLevelCol="0" x14ac:dyDescent="55"/>
  <cols>
    <col min="1" max="1" width="30" style="6" customWidth="1"/>
    <col min="2" max="2" width="50" style="7" customWidth="1"/>
  </cols>
  <sheetData>
    <row r="1" spans="1:2" s="8" customFormat="1" x14ac:dyDescent="0.25">
      <c r="A1" s="9" t="s">
        <v>9</v>
      </c>
      <c r="B1" s="10"/>
    </row>
    <row r="2" spans="1:2" x14ac:dyDescent="0.25">
      <c r="A2" s="11" t="s">
        <v>10</v>
      </c>
      <c r="B2" s="12"/>
    </row>
    <row r="4" spans="1:2" x14ac:dyDescent="0.25">
      <c r="A4" s="11" t="s">
        <v>11</v>
      </c>
      <c r="B4" s="12" t="s">
        <v>12</v>
      </c>
    </row>
    <row r="5" spans="1:2" x14ac:dyDescent="0.25">
      <c r="A5" s="11" t="s">
        <v>13</v>
      </c>
      <c r="B5" s="12" t="s">
        <v>14</v>
      </c>
    </row>
    <row r="6" spans="1:2" x14ac:dyDescent="0.25">
      <c r="A6" s="11" t="s">
        <v>15</v>
      </c>
      <c r="B6" s="12" t="s">
        <v>16</v>
      </c>
    </row>
    <row r="7" spans="1:2" x14ac:dyDescent="0.25">
      <c r="A7" s="11" t="s">
        <v>17</v>
      </c>
      <c r="B7" s="13">
        <v>172.5</v>
      </c>
    </row>
    <row r="8" spans="1:2" x14ac:dyDescent="0.25">
      <c r="A8" s="11" t="s">
        <v>18</v>
      </c>
      <c r="B8" s="13">
        <v>8.918608267053884</v>
      </c>
    </row>
    <row r="9" spans="1:2" x14ac:dyDescent="0.25">
      <c r="A9" s="11" t="s">
        <v>19</v>
      </c>
      <c r="B9" s="14">
        <v>-0.9482979230895427</v>
      </c>
    </row>
    <row r="10" spans="1:2" x14ac:dyDescent="0.25">
      <c r="A10" s="11" t="s">
        <v>20</v>
      </c>
      <c r="B10" s="14">
        <v>0.0507297569513321</v>
      </c>
    </row>
    <row r="11" spans="1:2" x14ac:dyDescent="0.25">
      <c r="A11" s="11" t="s">
        <v>21</v>
      </c>
      <c r="B11" s="12" t="s">
        <v>22</v>
      </c>
    </row>
    <row r="12" spans="1:2" x14ac:dyDescent="0.25">
      <c r="A12" s="11" t="s">
        <v>23</v>
      </c>
      <c r="B12" s="15">
        <v>46075.31481364583</v>
      </c>
    </row>
    <row r="13" spans="1:2" x14ac:dyDescent="0.25">
      <c r="A13" s="11" t="s">
        <v>24</v>
      </c>
      <c r="B13" s="15">
        <v>45688</v>
      </c>
    </row>
    <row r="14" spans="1:2" x14ac:dyDescent="0.25">
      <c r="A14" s="11" t="s">
        <v>25</v>
      </c>
      <c r="B14" s="12" t="s">
        <v>26</v>
      </c>
    </row>
    <row r="15" spans="1:2" x14ac:dyDescent="0.25">
      <c r="A15" s="11" t="s">
        <v>27</v>
      </c>
      <c r="B15" s="12" t="s">
        <v>28</v>
      </c>
    </row>
    <row r="16" spans="1:2" x14ac:dyDescent="0.25">
      <c r="A16" s="11" t="s">
        <v>29</v>
      </c>
      <c r="B16" s="12" t="s">
        <v>30</v>
      </c>
    </row>
    <row r="17" spans="1:2" x14ac:dyDescent="0.25">
      <c r="A17" s="11" t="s">
        <v>31</v>
      </c>
      <c r="B17" s="12" t="s">
        <v>32</v>
      </c>
    </row>
    <row r="18" spans="1:2" x14ac:dyDescent="0.25">
      <c r="A18" s="11" t="s">
        <v>33</v>
      </c>
      <c r="B18" s="12" t="s">
        <v>34</v>
      </c>
    </row>
    <row r="19" spans="1:2" x14ac:dyDescent="0.25">
      <c r="A19" s="11" t="s">
        <v>35</v>
      </c>
      <c r="B19" s="16">
        <v>59029.5</v>
      </c>
    </row>
    <row r="20" spans="1:2" x14ac:dyDescent="0.25">
      <c r="A20" s="11" t="s">
        <v>36</v>
      </c>
      <c r="B20" s="16">
        <v>342.2</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howGridLines="0"/>
  </sheetViews>
  <sheetFormatPr defaultRowHeight="15" outlineLevelRow="0" outlineLevelCol="0" x14ac:dyDescent="55"/>
  <cols>
    <col min="1" max="1" width="30" style="6" customWidth="1"/>
    <col min="2" max="2" width="15" style="7" customWidth="1"/>
    <col min="3" max="3" width="60" style="6" customWidth="1"/>
  </cols>
  <sheetData>
    <row r="1" spans="1:3" s="8" customFormat="1" x14ac:dyDescent="0.25">
      <c r="A1" s="9" t="s">
        <v>37</v>
      </c>
      <c r="B1" s="10"/>
      <c r="C1" s="9"/>
    </row>
    <row r="2" spans="1:3" x14ac:dyDescent="0.25">
      <c r="A2" s="11" t="s">
        <v>10</v>
      </c>
      <c r="B2" s="12"/>
      <c r="C2" s="11"/>
    </row>
    <row r="4" spans="1:3" s="17" customFormat="1" x14ac:dyDescent="0.25">
      <c r="A4" s="18" t="s">
        <v>38</v>
      </c>
      <c r="B4" s="18"/>
      <c r="C4" s="18"/>
    </row>
    <row r="5" spans="1:3" x14ac:dyDescent="0.25">
      <c r="A5" s="11" t="s">
        <v>39</v>
      </c>
      <c r="B5" s="11"/>
      <c r="C5" s="11"/>
    </row>
    <row r="7" spans="1:3" s="17" customFormat="1" x14ac:dyDescent="0.25">
      <c r="A7" s="18" t="s">
        <v>37</v>
      </c>
      <c r="B7" s="18"/>
      <c r="C7" s="18"/>
    </row>
    <row r="8" spans="1:3" x14ac:dyDescent="0.25">
      <c r="A8" s="11" t="s">
        <v>40</v>
      </c>
      <c r="B8" s="19">
        <v>0.23</v>
      </c>
      <c r="C8" s="11" t="s">
        <v>41</v>
      </c>
    </row>
    <row r="9" spans="1:3" x14ac:dyDescent="0.25">
      <c r="A9" s="11" t="s">
        <v>42</v>
      </c>
      <c r="B9" s="19">
        <v>0.032</v>
      </c>
      <c r="C9" s="11" t="s">
        <v>43</v>
      </c>
    </row>
    <row r="10" spans="1:3" x14ac:dyDescent="0.25">
      <c r="A10" s="11" t="s">
        <v>44</v>
      </c>
      <c r="B10" s="20">
        <v>10</v>
      </c>
      <c r="C10" s="11" t="s">
        <v>45</v>
      </c>
    </row>
    <row r="11" spans="1:3" x14ac:dyDescent="0.25">
      <c r="A11" s="11" t="s">
        <v>46</v>
      </c>
      <c r="B11" s="20">
        <v>0.65</v>
      </c>
      <c r="C11" s="11" t="s">
        <v>47</v>
      </c>
    </row>
    <row r="12" spans="1:3" x14ac:dyDescent="0.25">
      <c r="A12" s="11" t="s">
        <v>48</v>
      </c>
      <c r="B12" s="19">
        <v>0.16</v>
      </c>
      <c r="C12" s="11" t="s">
        <v>49</v>
      </c>
    </row>
    <row r="13" spans="1:3" x14ac:dyDescent="0.25">
      <c r="A13" s="11" t="s">
        <v>50</v>
      </c>
      <c r="B13" s="19">
        <v>0.085</v>
      </c>
      <c r="C13" s="11" t="s">
        <v>51</v>
      </c>
    </row>
    <row r="14" spans="1:3" x14ac:dyDescent="0.25">
      <c r="A14" s="11" t="s">
        <v>52</v>
      </c>
      <c r="B14" s="20">
        <v>8</v>
      </c>
      <c r="C14" s="11" t="s">
        <v>53</v>
      </c>
    </row>
    <row r="15" spans="1:3" x14ac:dyDescent="0.25">
      <c r="A15" s="11" t="s">
        <v>54</v>
      </c>
      <c r="B15" s="19">
        <v>0.12</v>
      </c>
      <c r="C15" s="11" t="s">
        <v>55</v>
      </c>
    </row>
    <row r="16" spans="1:3" x14ac:dyDescent="0.25">
      <c r="A16" s="11" t="s">
        <v>56</v>
      </c>
      <c r="B16" s="12" t="s">
        <v>57</v>
      </c>
      <c r="C16" s="11" t="s">
        <v>58</v>
      </c>
    </row>
    <row r="17" spans="1:3" x14ac:dyDescent="0.25">
      <c r="A17" s="11" t="s">
        <v>59</v>
      </c>
      <c r="B17" s="19">
        <v>0.55</v>
      </c>
      <c r="C17" s="11" t="s">
        <v>60</v>
      </c>
    </row>
  </sheetData>
  <mergeCells count="3">
    <mergeCell ref="A4:C4"/>
    <mergeCell ref="A5:C5"/>
    <mergeCell ref="A7:C7"/>
  </mergeCell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workbookViewId="0" showGridLines="0"/>
  </sheetViews>
  <sheetFormatPr defaultRowHeight="15" outlineLevelRow="0" outlineLevelCol="0" x14ac:dyDescent="55"/>
  <cols>
    <col min="1" max="1" width="30" style="6" customWidth="1"/>
    <col min="2" max="23" width="15" style="7" customWidth="1"/>
  </cols>
  <sheetData>
    <row r="1" spans="1:23" s="8" customFormat="1" x14ac:dyDescent="0.25">
      <c r="A1" s="9" t="s">
        <v>61</v>
      </c>
      <c r="B1" s="10"/>
      <c r="C1" s="10"/>
      <c r="D1" s="10"/>
      <c r="E1" s="10"/>
      <c r="F1" s="10"/>
      <c r="G1" s="10"/>
      <c r="H1" s="10"/>
      <c r="I1" s="10"/>
      <c r="J1" s="10"/>
      <c r="K1" s="10"/>
      <c r="L1" s="10"/>
      <c r="M1" s="10"/>
      <c r="N1" s="10"/>
      <c r="O1" s="10"/>
      <c r="P1" s="10"/>
      <c r="Q1" s="10"/>
      <c r="R1" s="10"/>
      <c r="S1" s="10"/>
      <c r="T1" s="10"/>
      <c r="U1" s="10"/>
      <c r="V1" s="10"/>
      <c r="W1" s="10"/>
    </row>
    <row r="2" spans="1:23" x14ac:dyDescent="0.25">
      <c r="A2" s="11" t="s">
        <v>10</v>
      </c>
      <c r="B2" s="12"/>
      <c r="C2" s="12"/>
      <c r="D2" s="12"/>
      <c r="E2" s="12"/>
      <c r="F2" s="12"/>
      <c r="G2" s="12"/>
      <c r="H2" s="12"/>
      <c r="I2" s="12"/>
      <c r="J2" s="12"/>
      <c r="K2" s="12"/>
      <c r="L2" s="12"/>
      <c r="M2" s="12"/>
      <c r="N2" s="12"/>
      <c r="O2" s="12"/>
      <c r="P2" s="12"/>
      <c r="Q2" s="12"/>
      <c r="R2" s="12"/>
      <c r="S2" s="12"/>
      <c r="T2" s="12"/>
      <c r="U2" s="12"/>
      <c r="V2" s="12"/>
      <c r="W2" s="12"/>
    </row>
    <row r="4" spans="1:23" x14ac:dyDescent="0.25">
      <c r="A4" s="21" t="s">
        <v>62</v>
      </c>
      <c r="B4" s="22" t="s">
        <v>63</v>
      </c>
      <c r="C4" s="23">
        <f>=IF(1&lt;=INDEX(Assumptions!B:B,MATCH("Years to stability",Assumptions!A:A,0)),"FY+1",IF(1=INDEX(Assumptions!B:B,MATCH("Years to stability",Assumptions!A:A,0))+1,"Stability",""))</f>
      </c>
      <c r="D4" s="23">
        <f>=IF(2&lt;=INDEX(Assumptions!B:B,MATCH("Years to stability",Assumptions!A:A,0)),"FY+2",IF(2=INDEX(Assumptions!B:B,MATCH("Years to stability",Assumptions!A:A,0))+1,"Stability",""))</f>
      </c>
      <c r="E4" s="23">
        <f>=IF(3&lt;=INDEX(Assumptions!B:B,MATCH("Years to stability",Assumptions!A:A,0)),"FY+3",IF(3=INDEX(Assumptions!B:B,MATCH("Years to stability",Assumptions!A:A,0))+1,"Stability",""))</f>
      </c>
      <c r="F4" s="23">
        <f>=IF(4&lt;=INDEX(Assumptions!B:B,MATCH("Years to stability",Assumptions!A:A,0)),"FY+4",IF(4=INDEX(Assumptions!B:B,MATCH("Years to stability",Assumptions!A:A,0))+1,"Stability",""))</f>
      </c>
      <c r="G4" s="23">
        <f>=IF(5&lt;=INDEX(Assumptions!B:B,MATCH("Years to stability",Assumptions!A:A,0)),"FY+5",IF(5=INDEX(Assumptions!B:B,MATCH("Years to stability",Assumptions!A:A,0))+1,"Stability",""))</f>
      </c>
      <c r="H4" s="23">
        <f>=IF(6&lt;=INDEX(Assumptions!B:B,MATCH("Years to stability",Assumptions!A:A,0)),"FY+6",IF(6=INDEX(Assumptions!B:B,MATCH("Years to stability",Assumptions!A:A,0))+1,"Stability",""))</f>
      </c>
      <c r="I4" s="23">
        <f>=IF(7&lt;=INDEX(Assumptions!B:B,MATCH("Years to stability",Assumptions!A:A,0)),"FY+7",IF(7=INDEX(Assumptions!B:B,MATCH("Years to stability",Assumptions!A:A,0))+1,"Stability",""))</f>
      </c>
      <c r="J4" s="23">
        <f>=IF(8&lt;=INDEX(Assumptions!B:B,MATCH("Years to stability",Assumptions!A:A,0)),"FY+8",IF(8=INDEX(Assumptions!B:B,MATCH("Years to stability",Assumptions!A:A,0))+1,"Stability",""))</f>
      </c>
      <c r="K4" s="23">
        <f>=IF(9&lt;=INDEX(Assumptions!B:B,MATCH("Years to stability",Assumptions!A:A,0)),"FY+9",IF(9=INDEX(Assumptions!B:B,MATCH("Years to stability",Assumptions!A:A,0))+1,"Stability",""))</f>
      </c>
      <c r="L4" s="23">
        <f>=IF(10&lt;=INDEX(Assumptions!B:B,MATCH("Years to stability",Assumptions!A:A,0)),"FY+10",IF(10=INDEX(Assumptions!B:B,MATCH("Years to stability",Assumptions!A:A,0))+1,"Stability",""))</f>
      </c>
      <c r="M4" s="23">
        <f>=IF(11&lt;=INDEX(Assumptions!B:B,MATCH("Years to stability",Assumptions!A:A,0)),"FY+11",IF(11=INDEX(Assumptions!B:B,MATCH("Years to stability",Assumptions!A:A,0))+1,"Stability",""))</f>
      </c>
      <c r="N4" s="23">
        <f>=IF(12&lt;=INDEX(Assumptions!B:B,MATCH("Years to stability",Assumptions!A:A,0)),"FY+12",IF(12=INDEX(Assumptions!B:B,MATCH("Years to stability",Assumptions!A:A,0))+1,"Stability",""))</f>
      </c>
      <c r="O4" s="23">
        <f>=IF(13&lt;=INDEX(Assumptions!B:B,MATCH("Years to stability",Assumptions!A:A,0)),"FY+13",IF(13=INDEX(Assumptions!B:B,MATCH("Years to stability",Assumptions!A:A,0))+1,"Stability",""))</f>
      </c>
      <c r="P4" s="23">
        <f>=IF(14&lt;=INDEX(Assumptions!B:B,MATCH("Years to stability",Assumptions!A:A,0)),"FY+14",IF(14=INDEX(Assumptions!B:B,MATCH("Years to stability",Assumptions!A:A,0))+1,"Stability",""))</f>
      </c>
      <c r="Q4" s="23">
        <f>=IF(15&lt;=INDEX(Assumptions!B:B,MATCH("Years to stability",Assumptions!A:A,0)),"FY+15",IF(15=INDEX(Assumptions!B:B,MATCH("Years to stability",Assumptions!A:A,0))+1,"Stability",""))</f>
      </c>
      <c r="R4" s="23">
        <f>=IF(16&lt;=INDEX(Assumptions!B:B,MATCH("Years to stability",Assumptions!A:A,0)),"FY+16",IF(16=INDEX(Assumptions!B:B,MATCH("Years to stability",Assumptions!A:A,0))+1,"Stability",""))</f>
      </c>
      <c r="S4" s="23">
        <f>=IF(17&lt;=INDEX(Assumptions!B:B,MATCH("Years to stability",Assumptions!A:A,0)),"FY+17",IF(17=INDEX(Assumptions!B:B,MATCH("Years to stability",Assumptions!A:A,0))+1,"Stability",""))</f>
      </c>
      <c r="T4" s="23">
        <f>=IF(18&lt;=INDEX(Assumptions!B:B,MATCH("Years to stability",Assumptions!A:A,0)),"FY+18",IF(18=INDEX(Assumptions!B:B,MATCH("Years to stability",Assumptions!A:A,0))+1,"Stability",""))</f>
      </c>
      <c r="U4" s="23">
        <f>=IF(19&lt;=INDEX(Assumptions!B:B,MATCH("Years to stability",Assumptions!A:A,0)),"FY+19",IF(19=INDEX(Assumptions!B:B,MATCH("Years to stability",Assumptions!A:A,0))+1,"Stability",""))</f>
      </c>
      <c r="V4" s="23">
        <f>=IF(20&lt;=INDEX(Assumptions!B:B,MATCH("Years to stability",Assumptions!A:A,0)),"FY+20",IF(20=INDEX(Assumptions!B:B,MATCH("Years to stability",Assumptions!A:A,0))+1,"Stability",""))</f>
      </c>
      <c r="W4" s="23">
        <f>=IF(21&lt;=INDEX(Assumptions!B:B,MATCH("Years to stability",Assumptions!A:A,0)),"FY+21",IF(21=INDEX(Assumptions!B:B,MATCH("Years to stability",Assumptions!A:A,0))+1,"Stability",""))</f>
      </c>
    </row>
    <row r="5" spans="1:23" x14ac:dyDescent="0.25">
      <c r="A5" s="11" t="s">
        <v>64</v>
      </c>
      <c r="B5" s="24">
        <f>=INDEX(Financials!B:B,MATCH("Revenue",Financials!A:A,0))</f>
      </c>
      <c r="C5" s="24">
        <f>=IF(1&lt;=INDEX(Assumptions!B:B,MATCH("Years to stability",Assumptions!A:A,0))+1,B5*(1+C6),"")</f>
      </c>
      <c r="D5" s="24">
        <f>=IF(2&lt;=INDEX(Assumptions!B:B,MATCH("Years to stability",Assumptions!A:A,0))+1,C5*(1+D6),"")</f>
      </c>
      <c r="E5" s="24">
        <f>=IF(3&lt;=INDEX(Assumptions!B:B,MATCH("Years to stability",Assumptions!A:A,0))+1,D5*(1+E6),"")</f>
      </c>
      <c r="F5" s="24">
        <f>=IF(4&lt;=INDEX(Assumptions!B:B,MATCH("Years to stability",Assumptions!A:A,0))+1,E5*(1+F6),"")</f>
      </c>
      <c r="G5" s="24">
        <f>=IF(5&lt;=INDEX(Assumptions!B:B,MATCH("Years to stability",Assumptions!A:A,0))+1,F5*(1+G6),"")</f>
      </c>
      <c r="H5" s="24">
        <f>=IF(6&lt;=INDEX(Assumptions!B:B,MATCH("Years to stability",Assumptions!A:A,0))+1,G5*(1+H6),"")</f>
      </c>
      <c r="I5" s="24">
        <f>=IF(7&lt;=INDEX(Assumptions!B:B,MATCH("Years to stability",Assumptions!A:A,0))+1,H5*(1+I6),"")</f>
      </c>
      <c r="J5" s="24">
        <f>=IF(8&lt;=INDEX(Assumptions!B:B,MATCH("Years to stability",Assumptions!A:A,0))+1,I5*(1+J6),"")</f>
      </c>
      <c r="K5" s="24">
        <f>=IF(9&lt;=INDEX(Assumptions!B:B,MATCH("Years to stability",Assumptions!A:A,0))+1,J5*(1+K6),"")</f>
      </c>
      <c r="L5" s="24">
        <f>=IF(10&lt;=INDEX(Assumptions!B:B,MATCH("Years to stability",Assumptions!A:A,0))+1,K5*(1+L6),"")</f>
      </c>
      <c r="M5" s="24">
        <f>=IF(11&lt;=INDEX(Assumptions!B:B,MATCH("Years to stability",Assumptions!A:A,0))+1,L5*(1+M6),"")</f>
      </c>
      <c r="N5" s="24">
        <f>=IF(12&lt;=INDEX(Assumptions!B:B,MATCH("Years to stability",Assumptions!A:A,0))+1,M5*(1+N6),"")</f>
      </c>
      <c r="O5" s="24">
        <f>=IF(13&lt;=INDEX(Assumptions!B:B,MATCH("Years to stability",Assumptions!A:A,0))+1,N5*(1+O6),"")</f>
      </c>
      <c r="P5" s="24">
        <f>=IF(14&lt;=INDEX(Assumptions!B:B,MATCH("Years to stability",Assumptions!A:A,0))+1,O5*(1+P6),"")</f>
      </c>
      <c r="Q5" s="24">
        <f>=IF(15&lt;=INDEX(Assumptions!B:B,MATCH("Years to stability",Assumptions!A:A,0))+1,P5*(1+Q6),"")</f>
      </c>
      <c r="R5" s="24">
        <f>=IF(16&lt;=INDEX(Assumptions!B:B,MATCH("Years to stability",Assumptions!A:A,0))+1,Q5*(1+R6),"")</f>
      </c>
      <c r="S5" s="24">
        <f>=IF(17&lt;=INDEX(Assumptions!B:B,MATCH("Years to stability",Assumptions!A:A,0))+1,R5*(1+S6),"")</f>
      </c>
      <c r="T5" s="24">
        <f>=IF(18&lt;=INDEX(Assumptions!B:B,MATCH("Years to stability",Assumptions!A:A,0))+1,S5*(1+T6),"")</f>
      </c>
      <c r="U5" s="24">
        <f>=IF(19&lt;=INDEX(Assumptions!B:B,MATCH("Years to stability",Assumptions!A:A,0))+1,T5*(1+U6),"")</f>
      </c>
      <c r="V5" s="24">
        <f>=IF(20&lt;=INDEX(Assumptions!B:B,MATCH("Years to stability",Assumptions!A:A,0))+1,U5*(1+V6),"")</f>
      </c>
      <c r="W5" s="24">
        <f>=IF(21&lt;=INDEX(Assumptions!B:B,MATCH("Years to stability",Assumptions!A:A,0))+1,V5*(1+W6),"")</f>
      </c>
    </row>
    <row r="6" spans="1:23" x14ac:dyDescent="0.25">
      <c r="A6" s="11" t="s">
        <v>65</v>
      </c>
      <c r="B6" s="25">
        <f>=INDEX(Financials!B:B,MATCH("YoY Growth",Financials!A:A,0))</f>
      </c>
      <c r="C6" s="25">
        <f>=IF(1&gt;INDEX(Assumptions!B:B,MATCH("Years to stability",Assumptions!A:A,0))+1,"",IF(1=INDEX(Assumptions!B:B,MATCH("Years to stability",Assumptions!A:A,0))+1,INDEX(Assumptions!B:B,MATCH("Stable growth rate",Assumptions!A:A,0)),IF(INDEX(Assumptions!B:B,MATCH("Years to stability",Assumptions!A:A,0))=1,INDEX(Assumptions!B:B,MATCH("Revenue growth rate",Assumptions!A:A,0)),IF(1&lt;=INT(INDEX(Assumptions!B:B,MATCH("Years to stability",Assumptions!A:A,0))/2),INDEX(Assumptions!B:B,MATCH("Revenue growth rate",Assumptions!A:A,0)),INDEX(Assumptions!B:B,MATCH("Revenue growth rate",Assumptions!A:A,0))+(((1-INT(INDEX(Assumptions!B:B,MATCH("Years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D6" s="25">
        <f>=IF(2&gt;INDEX(Assumptions!B:B,MATCH("Years to stability",Assumptions!A:A,0))+1,"",IF(2=INDEX(Assumptions!B:B,MATCH("Years to stability",Assumptions!A:A,0))+1,INDEX(Assumptions!B:B,MATCH("Stable growth rate",Assumptions!A:A,0)),IF(INDEX(Assumptions!B:B,MATCH("Years to stability",Assumptions!A:A,0))=1,INDEX(Assumptions!B:B,MATCH("Revenue growth rate",Assumptions!A:A,0)),IF(2&lt;=INT(INDEX(Assumptions!B:B,MATCH("Years to stability",Assumptions!A:A,0))/2),INDEX(Assumptions!B:B,MATCH("Revenue growth rate",Assumptions!A:A,0)),INDEX(Assumptions!B:B,MATCH("Revenue growth rate",Assumptions!A:A,0))+(((2-INT(INDEX(Assumptions!B:B,MATCH("Years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E6" s="25">
        <f>=IF(3&gt;INDEX(Assumptions!B:B,MATCH("Years to stability",Assumptions!A:A,0))+1,"",IF(3=INDEX(Assumptions!B:B,MATCH("Years to stability",Assumptions!A:A,0))+1,INDEX(Assumptions!B:B,MATCH("Stable growth rate",Assumptions!A:A,0)),IF(INDEX(Assumptions!B:B,MATCH("Years to stability",Assumptions!A:A,0))=1,INDEX(Assumptions!B:B,MATCH("Revenue growth rate",Assumptions!A:A,0)),IF(3&lt;=INT(INDEX(Assumptions!B:B,MATCH("Years to stability",Assumptions!A:A,0))/2),INDEX(Assumptions!B:B,MATCH("Revenue growth rate",Assumptions!A:A,0)),INDEX(Assumptions!B:B,MATCH("Revenue growth rate",Assumptions!A:A,0))+(((3-INT(INDEX(Assumptions!B:B,MATCH("Years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F6" s="25">
        <f>=IF(4&gt;INDEX(Assumptions!B:B,MATCH("Years to stability",Assumptions!A:A,0))+1,"",IF(4=INDEX(Assumptions!B:B,MATCH("Years to stability",Assumptions!A:A,0))+1,INDEX(Assumptions!B:B,MATCH("Stable growth rate",Assumptions!A:A,0)),IF(INDEX(Assumptions!B:B,MATCH("Years to stability",Assumptions!A:A,0))=1,INDEX(Assumptions!B:B,MATCH("Revenue growth rate",Assumptions!A:A,0)),IF(4&lt;=INT(INDEX(Assumptions!B:B,MATCH("Years to stability",Assumptions!A:A,0))/2),INDEX(Assumptions!B:B,MATCH("Revenue growth rate",Assumptions!A:A,0)),INDEX(Assumptions!B:B,MATCH("Revenue growth rate",Assumptions!A:A,0))+(((4-INT(INDEX(Assumptions!B:B,MATCH("Years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G6" s="25">
        <f>=IF(5&gt;INDEX(Assumptions!B:B,MATCH("Years to stability",Assumptions!A:A,0))+1,"",IF(5=INDEX(Assumptions!B:B,MATCH("Years to stability",Assumptions!A:A,0))+1,INDEX(Assumptions!B:B,MATCH("Stable growth rate",Assumptions!A:A,0)),IF(INDEX(Assumptions!B:B,MATCH("Years to stability",Assumptions!A:A,0))=1,INDEX(Assumptions!B:B,MATCH("Revenue growth rate",Assumptions!A:A,0)),IF(5&lt;=INT(INDEX(Assumptions!B:B,MATCH("Years to stability",Assumptions!A:A,0))/2),INDEX(Assumptions!B:B,MATCH("Revenue growth rate",Assumptions!A:A,0)),INDEX(Assumptions!B:B,MATCH("Revenue growth rate",Assumptions!A:A,0))+(((5-INT(INDEX(Assumptions!B:B,MATCH("Years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H6" s="25">
        <f>=IF(6&gt;INDEX(Assumptions!B:B,MATCH("Years to stability",Assumptions!A:A,0))+1,"",IF(6=INDEX(Assumptions!B:B,MATCH("Years to stability",Assumptions!A:A,0))+1,INDEX(Assumptions!B:B,MATCH("Stable growth rate",Assumptions!A:A,0)),IF(INDEX(Assumptions!B:B,MATCH("Years to stability",Assumptions!A:A,0))=1,INDEX(Assumptions!B:B,MATCH("Revenue growth rate",Assumptions!A:A,0)),IF(6&lt;=INT(INDEX(Assumptions!B:B,MATCH("Years to stability",Assumptions!A:A,0))/2),INDEX(Assumptions!B:B,MATCH("Revenue growth rate",Assumptions!A:A,0)),INDEX(Assumptions!B:B,MATCH("Revenue growth rate",Assumptions!A:A,0))+(((6-INT(INDEX(Assumptions!B:B,MATCH("Years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I6" s="25">
        <f>=IF(7&gt;INDEX(Assumptions!B:B,MATCH("Years to stability",Assumptions!A:A,0))+1,"",IF(7=INDEX(Assumptions!B:B,MATCH("Years to stability",Assumptions!A:A,0))+1,INDEX(Assumptions!B:B,MATCH("Stable growth rate",Assumptions!A:A,0)),IF(INDEX(Assumptions!B:B,MATCH("Years to stability",Assumptions!A:A,0))=1,INDEX(Assumptions!B:B,MATCH("Revenue growth rate",Assumptions!A:A,0)),IF(7&lt;=INT(INDEX(Assumptions!B:B,MATCH("Years to stability",Assumptions!A:A,0))/2),INDEX(Assumptions!B:B,MATCH("Revenue growth rate",Assumptions!A:A,0)),INDEX(Assumptions!B:B,MATCH("Revenue growth rate",Assumptions!A:A,0))+(((7-INT(INDEX(Assumptions!B:B,MATCH("Years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J6" s="25">
        <f>=IF(8&gt;INDEX(Assumptions!B:B,MATCH("Years to stability",Assumptions!A:A,0))+1,"",IF(8=INDEX(Assumptions!B:B,MATCH("Years to stability",Assumptions!A:A,0))+1,INDEX(Assumptions!B:B,MATCH("Stable growth rate",Assumptions!A:A,0)),IF(INDEX(Assumptions!B:B,MATCH("Years to stability",Assumptions!A:A,0))=1,INDEX(Assumptions!B:B,MATCH("Revenue growth rate",Assumptions!A:A,0)),IF(8&lt;=INT(INDEX(Assumptions!B:B,MATCH("Years to stability",Assumptions!A:A,0))/2),INDEX(Assumptions!B:B,MATCH("Revenue growth rate",Assumptions!A:A,0)),INDEX(Assumptions!B:B,MATCH("Revenue growth rate",Assumptions!A:A,0))+(((8-INT(INDEX(Assumptions!B:B,MATCH("Years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K6" s="25">
        <f>=IF(9&gt;INDEX(Assumptions!B:B,MATCH("Years to stability",Assumptions!A:A,0))+1,"",IF(9=INDEX(Assumptions!B:B,MATCH("Years to stability",Assumptions!A:A,0))+1,INDEX(Assumptions!B:B,MATCH("Stable growth rate",Assumptions!A:A,0)),IF(INDEX(Assumptions!B:B,MATCH("Years to stability",Assumptions!A:A,0))=1,INDEX(Assumptions!B:B,MATCH("Revenue growth rate",Assumptions!A:A,0)),IF(9&lt;=INT(INDEX(Assumptions!B:B,MATCH("Years to stability",Assumptions!A:A,0))/2),INDEX(Assumptions!B:B,MATCH("Revenue growth rate",Assumptions!A:A,0)),INDEX(Assumptions!B:B,MATCH("Revenue growth rate",Assumptions!A:A,0))+(((9-INT(INDEX(Assumptions!B:B,MATCH("Years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L6" s="25">
        <f>=IF(10&gt;INDEX(Assumptions!B:B,MATCH("Years to stability",Assumptions!A:A,0))+1,"",IF(10=INDEX(Assumptions!B:B,MATCH("Years to stability",Assumptions!A:A,0))+1,INDEX(Assumptions!B:B,MATCH("Stable growth rate",Assumptions!A:A,0)),IF(INDEX(Assumptions!B:B,MATCH("Years to stability",Assumptions!A:A,0))=1,INDEX(Assumptions!B:B,MATCH("Revenue growth rate",Assumptions!A:A,0)),IF(10&lt;=INT(INDEX(Assumptions!B:B,MATCH("Years to stability",Assumptions!A:A,0))/2),INDEX(Assumptions!B:B,MATCH("Revenue growth rate",Assumptions!A:A,0)),INDEX(Assumptions!B:B,MATCH("Revenue growth rate",Assumptions!A:A,0))+(((10-INT(INDEX(Assumptions!B:B,MATCH("Years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M6" s="25">
        <f>=IF(11&gt;INDEX(Assumptions!B:B,MATCH("Years to stability",Assumptions!A:A,0))+1,"",IF(11=INDEX(Assumptions!B:B,MATCH("Years to stability",Assumptions!A:A,0))+1,INDEX(Assumptions!B:B,MATCH("Stable growth rate",Assumptions!A:A,0)),IF(INDEX(Assumptions!B:B,MATCH("Years to stability",Assumptions!A:A,0))=1,INDEX(Assumptions!B:B,MATCH("Revenue growth rate",Assumptions!A:A,0)),IF(11&lt;=INT(INDEX(Assumptions!B:B,MATCH("Years to stability",Assumptions!A:A,0))/2),INDEX(Assumptions!B:B,MATCH("Revenue growth rate",Assumptions!A:A,0)),INDEX(Assumptions!B:B,MATCH("Revenue growth rate",Assumptions!A:A,0))+(((11-INT(INDEX(Assumptions!B:B,MATCH("Years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N6" s="25">
        <f>=IF(12&gt;INDEX(Assumptions!B:B,MATCH("Years to stability",Assumptions!A:A,0))+1,"",IF(12=INDEX(Assumptions!B:B,MATCH("Years to stability",Assumptions!A:A,0))+1,INDEX(Assumptions!B:B,MATCH("Stable growth rate",Assumptions!A:A,0)),IF(INDEX(Assumptions!B:B,MATCH("Years to stability",Assumptions!A:A,0))=1,INDEX(Assumptions!B:B,MATCH("Revenue growth rate",Assumptions!A:A,0)),IF(12&lt;=INT(INDEX(Assumptions!B:B,MATCH("Years to stability",Assumptions!A:A,0))/2),INDEX(Assumptions!B:B,MATCH("Revenue growth rate",Assumptions!A:A,0)),INDEX(Assumptions!B:B,MATCH("Revenue growth rate",Assumptions!A:A,0))+(((12-INT(INDEX(Assumptions!B:B,MATCH("Years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O6" s="25">
        <f>=IF(13&gt;INDEX(Assumptions!B:B,MATCH("Years to stability",Assumptions!A:A,0))+1,"",IF(13=INDEX(Assumptions!B:B,MATCH("Years to stability",Assumptions!A:A,0))+1,INDEX(Assumptions!B:B,MATCH("Stable growth rate",Assumptions!A:A,0)),IF(INDEX(Assumptions!B:B,MATCH("Years to stability",Assumptions!A:A,0))=1,INDEX(Assumptions!B:B,MATCH("Revenue growth rate",Assumptions!A:A,0)),IF(13&lt;=INT(INDEX(Assumptions!B:B,MATCH("Years to stability",Assumptions!A:A,0))/2),INDEX(Assumptions!B:B,MATCH("Revenue growth rate",Assumptions!A:A,0)),INDEX(Assumptions!B:B,MATCH("Revenue growth rate",Assumptions!A:A,0))+(((13-INT(INDEX(Assumptions!B:B,MATCH("Years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P6" s="25">
        <f>=IF(14&gt;INDEX(Assumptions!B:B,MATCH("Years to stability",Assumptions!A:A,0))+1,"",IF(14=INDEX(Assumptions!B:B,MATCH("Years to stability",Assumptions!A:A,0))+1,INDEX(Assumptions!B:B,MATCH("Stable growth rate",Assumptions!A:A,0)),IF(INDEX(Assumptions!B:B,MATCH("Years to stability",Assumptions!A:A,0))=1,INDEX(Assumptions!B:B,MATCH("Revenue growth rate",Assumptions!A:A,0)),IF(14&lt;=INT(INDEX(Assumptions!B:B,MATCH("Years to stability",Assumptions!A:A,0))/2),INDEX(Assumptions!B:B,MATCH("Revenue growth rate",Assumptions!A:A,0)),INDEX(Assumptions!B:B,MATCH("Revenue growth rate",Assumptions!A:A,0))+(((14-INT(INDEX(Assumptions!B:B,MATCH("Years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Q6" s="25">
        <f>=IF(15&gt;INDEX(Assumptions!B:B,MATCH("Years to stability",Assumptions!A:A,0))+1,"",IF(15=INDEX(Assumptions!B:B,MATCH("Years to stability",Assumptions!A:A,0))+1,INDEX(Assumptions!B:B,MATCH("Stable growth rate",Assumptions!A:A,0)),IF(INDEX(Assumptions!B:B,MATCH("Years to stability",Assumptions!A:A,0))=1,INDEX(Assumptions!B:B,MATCH("Revenue growth rate",Assumptions!A:A,0)),IF(15&lt;=INT(INDEX(Assumptions!B:B,MATCH("Years to stability",Assumptions!A:A,0))/2),INDEX(Assumptions!B:B,MATCH("Revenue growth rate",Assumptions!A:A,0)),INDEX(Assumptions!B:B,MATCH("Revenue growth rate",Assumptions!A:A,0))+(((15-INT(INDEX(Assumptions!B:B,MATCH("Years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R6" s="25">
        <f>=IF(16&gt;INDEX(Assumptions!B:B,MATCH("Years to stability",Assumptions!A:A,0))+1,"",IF(16=INDEX(Assumptions!B:B,MATCH("Years to stability",Assumptions!A:A,0))+1,INDEX(Assumptions!B:B,MATCH("Stable growth rate",Assumptions!A:A,0)),IF(INDEX(Assumptions!B:B,MATCH("Years to stability",Assumptions!A:A,0))=1,INDEX(Assumptions!B:B,MATCH("Revenue growth rate",Assumptions!A:A,0)),IF(16&lt;=INT(INDEX(Assumptions!B:B,MATCH("Years to stability",Assumptions!A:A,0))/2),INDEX(Assumptions!B:B,MATCH("Revenue growth rate",Assumptions!A:A,0)),INDEX(Assumptions!B:B,MATCH("Revenue growth rate",Assumptions!A:A,0))+(((16-INT(INDEX(Assumptions!B:B,MATCH("Years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S6" s="25">
        <f>=IF(17&gt;INDEX(Assumptions!B:B,MATCH("Years to stability",Assumptions!A:A,0))+1,"",IF(17=INDEX(Assumptions!B:B,MATCH("Years to stability",Assumptions!A:A,0))+1,INDEX(Assumptions!B:B,MATCH("Stable growth rate",Assumptions!A:A,0)),IF(INDEX(Assumptions!B:B,MATCH("Years to stability",Assumptions!A:A,0))=1,INDEX(Assumptions!B:B,MATCH("Revenue growth rate",Assumptions!A:A,0)),IF(17&lt;=INT(INDEX(Assumptions!B:B,MATCH("Years to stability",Assumptions!A:A,0))/2),INDEX(Assumptions!B:B,MATCH("Revenue growth rate",Assumptions!A:A,0)),INDEX(Assumptions!B:B,MATCH("Revenue growth rate",Assumptions!A:A,0))+(((17-INT(INDEX(Assumptions!B:B,MATCH("Years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T6" s="25">
        <f>=IF(18&gt;INDEX(Assumptions!B:B,MATCH("Years to stability",Assumptions!A:A,0))+1,"",IF(18=INDEX(Assumptions!B:B,MATCH("Years to stability",Assumptions!A:A,0))+1,INDEX(Assumptions!B:B,MATCH("Stable growth rate",Assumptions!A:A,0)),IF(INDEX(Assumptions!B:B,MATCH("Years to stability",Assumptions!A:A,0))=1,INDEX(Assumptions!B:B,MATCH("Revenue growth rate",Assumptions!A:A,0)),IF(18&lt;=INT(INDEX(Assumptions!B:B,MATCH("Years to stability",Assumptions!A:A,0))/2),INDEX(Assumptions!B:B,MATCH("Revenue growth rate",Assumptions!A:A,0)),INDEX(Assumptions!B:B,MATCH("Revenue growth rate",Assumptions!A:A,0))+(((18-INT(INDEX(Assumptions!B:B,MATCH("Years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U6" s="25">
        <f>=IF(19&gt;INDEX(Assumptions!B:B,MATCH("Years to stability",Assumptions!A:A,0))+1,"",IF(19=INDEX(Assumptions!B:B,MATCH("Years to stability",Assumptions!A:A,0))+1,INDEX(Assumptions!B:B,MATCH("Stable growth rate",Assumptions!A:A,0)),IF(INDEX(Assumptions!B:B,MATCH("Years to stability",Assumptions!A:A,0))=1,INDEX(Assumptions!B:B,MATCH("Revenue growth rate",Assumptions!A:A,0)),IF(19&lt;=INT(INDEX(Assumptions!B:B,MATCH("Years to stability",Assumptions!A:A,0))/2),INDEX(Assumptions!B:B,MATCH("Revenue growth rate",Assumptions!A:A,0)),INDEX(Assumptions!B:B,MATCH("Revenue growth rate",Assumptions!A:A,0))+(((19-INT(INDEX(Assumptions!B:B,MATCH("Years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V6" s="25">
        <f>=IF(20&gt;INDEX(Assumptions!B:B,MATCH("Years to stability",Assumptions!A:A,0))+1,"",IF(20=INDEX(Assumptions!B:B,MATCH("Years to stability",Assumptions!A:A,0))+1,INDEX(Assumptions!B:B,MATCH("Stable growth rate",Assumptions!A:A,0)),IF(INDEX(Assumptions!B:B,MATCH("Years to stability",Assumptions!A:A,0))=1,INDEX(Assumptions!B:B,MATCH("Revenue growth rate",Assumptions!A:A,0)),IF(20&lt;=INT(INDEX(Assumptions!B:B,MATCH("Years to stability",Assumptions!A:A,0))/2),INDEX(Assumptions!B:B,MATCH("Revenue growth rate",Assumptions!A:A,0)),INDEX(Assumptions!B:B,MATCH("Revenue growth rate",Assumptions!A:A,0))+(((20-INT(INDEX(Assumptions!B:B,MATCH("Years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W6" s="25">
        <f>=IF(21&gt;INDEX(Assumptions!B:B,MATCH("Years to stability",Assumptions!A:A,0))+1,"",IF(21=INDEX(Assumptions!B:B,MATCH("Years to stability",Assumptions!A:A,0))+1,INDEX(Assumptions!B:B,MATCH("Stable growth rate",Assumptions!A:A,0)),IF(INDEX(Assumptions!B:B,MATCH("Years to stability",Assumptions!A:A,0))=1,INDEX(Assumptions!B:B,MATCH("Revenue growth rate",Assumptions!A:A,0)),IF(21&lt;=INT(INDEX(Assumptions!B:B,MATCH("Years to stability",Assumptions!A:A,0))/2),INDEX(Assumptions!B:B,MATCH("Revenue growth rate",Assumptions!A:A,0)),INDEX(Assumptions!B:B,MATCH("Revenue growth rate",Assumptions!A:A,0))+(((21-INT(INDEX(Assumptions!B:B,MATCH("Years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row>
    <row r="7" spans="1:23" x14ac:dyDescent="0.25">
      <c r="A7" s="11" t="s">
        <v>66</v>
      </c>
      <c r="B7" s="24">
        <f>=B5-B8</f>
      </c>
      <c r="C7" s="24">
        <f>=IF(1&lt;=INDEX(Assumptions!B:B,MATCH("Years to stability",Assumptions!A:A,0))+1,C5-C8,"")</f>
      </c>
      <c r="D7" s="24">
        <f>=IF(2&lt;=INDEX(Assumptions!B:B,MATCH("Years to stability",Assumptions!A:A,0))+1,D5-D8,"")</f>
      </c>
      <c r="E7" s="24">
        <f>=IF(3&lt;=INDEX(Assumptions!B:B,MATCH("Years to stability",Assumptions!A:A,0))+1,E5-E8,"")</f>
      </c>
      <c r="F7" s="24">
        <f>=IF(4&lt;=INDEX(Assumptions!B:B,MATCH("Years to stability",Assumptions!A:A,0))+1,F5-F8,"")</f>
      </c>
      <c r="G7" s="24">
        <f>=IF(5&lt;=INDEX(Assumptions!B:B,MATCH("Years to stability",Assumptions!A:A,0))+1,G5-G8,"")</f>
      </c>
      <c r="H7" s="24">
        <f>=IF(6&lt;=INDEX(Assumptions!B:B,MATCH("Years to stability",Assumptions!A:A,0))+1,H5-H8,"")</f>
      </c>
      <c r="I7" s="24">
        <f>=IF(7&lt;=INDEX(Assumptions!B:B,MATCH("Years to stability",Assumptions!A:A,0))+1,I5-I8,"")</f>
      </c>
      <c r="J7" s="24">
        <f>=IF(8&lt;=INDEX(Assumptions!B:B,MATCH("Years to stability",Assumptions!A:A,0))+1,J5-J8,"")</f>
      </c>
      <c r="K7" s="24">
        <f>=IF(9&lt;=INDEX(Assumptions!B:B,MATCH("Years to stability",Assumptions!A:A,0))+1,K5-K8,"")</f>
      </c>
      <c r="L7" s="24">
        <f>=IF(10&lt;=INDEX(Assumptions!B:B,MATCH("Years to stability",Assumptions!A:A,0))+1,L5-L8,"")</f>
      </c>
      <c r="M7" s="24">
        <f>=IF(11&lt;=INDEX(Assumptions!B:B,MATCH("Years to stability",Assumptions!A:A,0))+1,M5-M8,"")</f>
      </c>
      <c r="N7" s="24">
        <f>=IF(12&lt;=INDEX(Assumptions!B:B,MATCH("Years to stability",Assumptions!A:A,0))+1,N5-N8,"")</f>
      </c>
      <c r="O7" s="24">
        <f>=IF(13&lt;=INDEX(Assumptions!B:B,MATCH("Years to stability",Assumptions!A:A,0))+1,O5-O8,"")</f>
      </c>
      <c r="P7" s="24">
        <f>=IF(14&lt;=INDEX(Assumptions!B:B,MATCH("Years to stability",Assumptions!A:A,0))+1,P5-P8,"")</f>
      </c>
      <c r="Q7" s="24">
        <f>=IF(15&lt;=INDEX(Assumptions!B:B,MATCH("Years to stability",Assumptions!A:A,0))+1,Q5-Q8,"")</f>
      </c>
      <c r="R7" s="24">
        <f>=IF(16&lt;=INDEX(Assumptions!B:B,MATCH("Years to stability",Assumptions!A:A,0))+1,R5-R8,"")</f>
      </c>
      <c r="S7" s="24">
        <f>=IF(17&lt;=INDEX(Assumptions!B:B,MATCH("Years to stability",Assumptions!A:A,0))+1,S5-S8,"")</f>
      </c>
      <c r="T7" s="24">
        <f>=IF(18&lt;=INDEX(Assumptions!B:B,MATCH("Years to stability",Assumptions!A:A,0))+1,T5-T8,"")</f>
      </c>
      <c r="U7" s="24">
        <f>=IF(19&lt;=INDEX(Assumptions!B:B,MATCH("Years to stability",Assumptions!A:A,0))+1,U5-U8,"")</f>
      </c>
      <c r="V7" s="24">
        <f>=IF(20&lt;=INDEX(Assumptions!B:B,MATCH("Years to stability",Assumptions!A:A,0))+1,V5-V8,"")</f>
      </c>
      <c r="W7" s="24">
        <f>=IF(21&lt;=INDEX(Assumptions!B:B,MATCH("Years to stability",Assumptions!A:A,0))+1,W5-W8,"")</f>
      </c>
    </row>
    <row r="8" spans="1:23" x14ac:dyDescent="0.25">
      <c r="A8" s="11" t="s">
        <v>67</v>
      </c>
      <c r="B8" s="24">
        <f>=INDEX(Financials!B:B,MATCH("Adjusted Net Profit",Financials!A:A,0))</f>
      </c>
      <c r="C8" s="24">
        <f>=IF(1&lt;=INDEX(Assumptions!B:B,MATCH("Years to stability",Assumptions!A:A,0))+1,C5*C9,"")</f>
      </c>
      <c r="D8" s="24">
        <f>=IF(2&lt;=INDEX(Assumptions!B:B,MATCH("Years to stability",Assumptions!A:A,0))+1,D5*D9,"")</f>
      </c>
      <c r="E8" s="24">
        <f>=IF(3&lt;=INDEX(Assumptions!B:B,MATCH("Years to stability",Assumptions!A:A,0))+1,E5*E9,"")</f>
      </c>
      <c r="F8" s="24">
        <f>=IF(4&lt;=INDEX(Assumptions!B:B,MATCH("Years to stability",Assumptions!A:A,0))+1,F5*F9,"")</f>
      </c>
      <c r="G8" s="24">
        <f>=IF(5&lt;=INDEX(Assumptions!B:B,MATCH("Years to stability",Assumptions!A:A,0))+1,G5*G9,"")</f>
      </c>
      <c r="H8" s="24">
        <f>=IF(6&lt;=INDEX(Assumptions!B:B,MATCH("Years to stability",Assumptions!A:A,0))+1,H5*H9,"")</f>
      </c>
      <c r="I8" s="24">
        <f>=IF(7&lt;=INDEX(Assumptions!B:B,MATCH("Years to stability",Assumptions!A:A,0))+1,I5*I9,"")</f>
      </c>
      <c r="J8" s="24">
        <f>=IF(8&lt;=INDEX(Assumptions!B:B,MATCH("Years to stability",Assumptions!A:A,0))+1,J5*J9,"")</f>
      </c>
      <c r="K8" s="24">
        <f>=IF(9&lt;=INDEX(Assumptions!B:B,MATCH("Years to stability",Assumptions!A:A,0))+1,K5*K9,"")</f>
      </c>
      <c r="L8" s="24">
        <f>=IF(10&lt;=INDEX(Assumptions!B:B,MATCH("Years to stability",Assumptions!A:A,0))+1,L5*L9,"")</f>
      </c>
      <c r="M8" s="24">
        <f>=IF(11&lt;=INDEX(Assumptions!B:B,MATCH("Years to stability",Assumptions!A:A,0))+1,M5*M9,"")</f>
      </c>
      <c r="N8" s="24">
        <f>=IF(12&lt;=INDEX(Assumptions!B:B,MATCH("Years to stability",Assumptions!A:A,0))+1,N5*N9,"")</f>
      </c>
      <c r="O8" s="24">
        <f>=IF(13&lt;=INDEX(Assumptions!B:B,MATCH("Years to stability",Assumptions!A:A,0))+1,O5*O9,"")</f>
      </c>
      <c r="P8" s="24">
        <f>=IF(14&lt;=INDEX(Assumptions!B:B,MATCH("Years to stability",Assumptions!A:A,0))+1,P5*P9,"")</f>
      </c>
      <c r="Q8" s="24">
        <f>=IF(15&lt;=INDEX(Assumptions!B:B,MATCH("Years to stability",Assumptions!A:A,0))+1,Q5*Q9,"")</f>
      </c>
      <c r="R8" s="24">
        <f>=IF(16&lt;=INDEX(Assumptions!B:B,MATCH("Years to stability",Assumptions!A:A,0))+1,R5*R9,"")</f>
      </c>
      <c r="S8" s="24">
        <f>=IF(17&lt;=INDEX(Assumptions!B:B,MATCH("Years to stability",Assumptions!A:A,0))+1,S5*S9,"")</f>
      </c>
      <c r="T8" s="24">
        <f>=IF(18&lt;=INDEX(Assumptions!B:B,MATCH("Years to stability",Assumptions!A:A,0))+1,T5*T9,"")</f>
      </c>
      <c r="U8" s="24">
        <f>=IF(19&lt;=INDEX(Assumptions!B:B,MATCH("Years to stability",Assumptions!A:A,0))+1,U5*U9,"")</f>
      </c>
      <c r="V8" s="24">
        <f>=IF(20&lt;=INDEX(Assumptions!B:B,MATCH("Years to stability",Assumptions!A:A,0))+1,V5*V9,"")</f>
      </c>
      <c r="W8" s="24">
        <f>=IF(21&lt;=INDEX(Assumptions!B:B,MATCH("Years to stability",Assumptions!A:A,0))+1,W5*W9,"")</f>
      </c>
    </row>
    <row r="9" spans="1:23" x14ac:dyDescent="0.25">
      <c r="A9" s="11" t="s">
        <v>68</v>
      </c>
      <c r="B9" s="25">
        <f>=INDEX(Financials!B:B,MATCH("Margin",Financials!A:A,0))</f>
      </c>
      <c r="C9" s="25">
        <f>=IF(1&gt;INDEX(Assumptions!B:B,MATCH("Years to stability",Assumptions!A:A,0))+1,"",IF(INDEX(Assumptions!B:B,MATCH("Margin convergence",Assumptions!A:A,0))=0,INDEX(Assumptions!B:B,MATCH("FY+1 net profit margin",Assumptions!A:A,0))+IF(INDEX(Assumptions!B:B,MATCH("Margin convergence",Assumptions!A:A,0))=0,(1-1)/(INDEX(Assumptions!B:B,MATCH("Years to stability",Assumptions!A:A,0))-1),MIN(1-1,INDEX(Assumptions!B:B,MATCH("Margin convergence",Assumptions!A:A,0)))/INDEX(Assumptions!B:B,MATCH("Margin convergence",Assumptions!A:A,0)))*(INDEX(Assumptions!B:B,MATCH("Stable net profit margin",Assumptions!A:A,0))-INDEX(Assumptions!B:B,MATCH("FY+1 net profit margin",Assumptions!A:A,0))),IF(1-1&gt;=INDEX(Assumptions!B:B,MATCH("Margin convergence",Assumptions!A:A,0)),INDEX(Assumptions!B:B,MATCH("Stable net profit margin",Assumptions!A:A,0)),INDEX(Assumptions!B:B,MATCH("FY+1 net profit margin",Assumptions!A:A,0))+IF(INDEX(Assumptions!B:B,MATCH("Margin convergence",Assumptions!A:A,0))=0,(1-1)/(INDEX(Assumptions!B:B,MATCH("Years to stability",Assumptions!A:A,0))-1),MIN(1-1,INDEX(Assumptions!B:B,MATCH("Margin convergence",Assumptions!A:A,0)))/INDEX(Assumptions!B:B,MATCH("Margin convergence",Assumptions!A:A,0)))*(INDEX(Assumptions!B:B,MATCH("Stable net profit margin",Assumptions!A:A,0))-INDEX(Assumptions!B:B,MATCH("FY+1 net profit margin",Assumptions!A:A,0))))))</f>
      </c>
      <c r="D9" s="25">
        <f>=IF(2&gt;INDEX(Assumptions!B:B,MATCH("Years to stability",Assumptions!A:A,0))+1,"",IF(INDEX(Assumptions!B:B,MATCH("Margin convergence",Assumptions!A:A,0))=0,INDEX(Assumptions!B:B,MATCH("FY+1 net profit margin",Assumptions!A:A,0))+IF(INDEX(Assumptions!B:B,MATCH("Margin convergence",Assumptions!A:A,0))=0,(2-1)/(INDEX(Assumptions!B:B,MATCH("Years to stability",Assumptions!A:A,0))-1),MIN(2-1,INDEX(Assumptions!B:B,MATCH("Margin convergence",Assumptions!A:A,0)))/INDEX(Assumptions!B:B,MATCH("Margin convergence",Assumptions!A:A,0)))*(INDEX(Assumptions!B:B,MATCH("Stable net profit margin",Assumptions!A:A,0))-INDEX(Assumptions!B:B,MATCH("FY+1 net profit margin",Assumptions!A:A,0))),IF(2-1&gt;=INDEX(Assumptions!B:B,MATCH("Margin convergence",Assumptions!A:A,0)),INDEX(Assumptions!B:B,MATCH("Stable net profit margin",Assumptions!A:A,0)),INDEX(Assumptions!B:B,MATCH("FY+1 net profit margin",Assumptions!A:A,0))+IF(INDEX(Assumptions!B:B,MATCH("Margin convergence",Assumptions!A:A,0))=0,(2-1)/(INDEX(Assumptions!B:B,MATCH("Years to stability",Assumptions!A:A,0))-1),MIN(2-1,INDEX(Assumptions!B:B,MATCH("Margin convergence",Assumptions!A:A,0)))/INDEX(Assumptions!B:B,MATCH("Margin convergence",Assumptions!A:A,0)))*(INDEX(Assumptions!B:B,MATCH("Stable net profit margin",Assumptions!A:A,0))-INDEX(Assumptions!B:B,MATCH("FY+1 net profit margin",Assumptions!A:A,0))))))</f>
      </c>
      <c r="E9" s="25">
        <f>=IF(3&gt;INDEX(Assumptions!B:B,MATCH("Years to stability",Assumptions!A:A,0))+1,"",IF(INDEX(Assumptions!B:B,MATCH("Margin convergence",Assumptions!A:A,0))=0,INDEX(Assumptions!B:B,MATCH("FY+1 net profit margin",Assumptions!A:A,0))+IF(INDEX(Assumptions!B:B,MATCH("Margin convergence",Assumptions!A:A,0))=0,(3-1)/(INDEX(Assumptions!B:B,MATCH("Years to stability",Assumptions!A:A,0))-1),MIN(3-1,INDEX(Assumptions!B:B,MATCH("Margin convergence",Assumptions!A:A,0)))/INDEX(Assumptions!B:B,MATCH("Margin convergence",Assumptions!A:A,0)))*(INDEX(Assumptions!B:B,MATCH("Stable net profit margin",Assumptions!A:A,0))-INDEX(Assumptions!B:B,MATCH("FY+1 net profit margin",Assumptions!A:A,0))),IF(3-1&gt;=INDEX(Assumptions!B:B,MATCH("Margin convergence",Assumptions!A:A,0)),INDEX(Assumptions!B:B,MATCH("Stable net profit margin",Assumptions!A:A,0)),INDEX(Assumptions!B:B,MATCH("FY+1 net profit margin",Assumptions!A:A,0))+IF(INDEX(Assumptions!B:B,MATCH("Margin convergence",Assumptions!A:A,0))=0,(3-1)/(INDEX(Assumptions!B:B,MATCH("Years to stability",Assumptions!A:A,0))-1),MIN(3-1,INDEX(Assumptions!B:B,MATCH("Margin convergence",Assumptions!A:A,0)))/INDEX(Assumptions!B:B,MATCH("Margin convergence",Assumptions!A:A,0)))*(INDEX(Assumptions!B:B,MATCH("Stable net profit margin",Assumptions!A:A,0))-INDEX(Assumptions!B:B,MATCH("FY+1 net profit margin",Assumptions!A:A,0))))))</f>
      </c>
      <c r="F9" s="25">
        <f>=IF(4&gt;INDEX(Assumptions!B:B,MATCH("Years to stability",Assumptions!A:A,0))+1,"",IF(INDEX(Assumptions!B:B,MATCH("Margin convergence",Assumptions!A:A,0))=0,INDEX(Assumptions!B:B,MATCH("FY+1 net profit margin",Assumptions!A:A,0))+IF(INDEX(Assumptions!B:B,MATCH("Margin convergence",Assumptions!A:A,0))=0,(4-1)/(INDEX(Assumptions!B:B,MATCH("Years to stability",Assumptions!A:A,0))-1),MIN(4-1,INDEX(Assumptions!B:B,MATCH("Margin convergence",Assumptions!A:A,0)))/INDEX(Assumptions!B:B,MATCH("Margin convergence",Assumptions!A:A,0)))*(INDEX(Assumptions!B:B,MATCH("Stable net profit margin",Assumptions!A:A,0))-INDEX(Assumptions!B:B,MATCH("FY+1 net profit margin",Assumptions!A:A,0))),IF(4-1&gt;=INDEX(Assumptions!B:B,MATCH("Margin convergence",Assumptions!A:A,0)),INDEX(Assumptions!B:B,MATCH("Stable net profit margin",Assumptions!A:A,0)),INDEX(Assumptions!B:B,MATCH("FY+1 net profit margin",Assumptions!A:A,0))+IF(INDEX(Assumptions!B:B,MATCH("Margin convergence",Assumptions!A:A,0))=0,(4-1)/(INDEX(Assumptions!B:B,MATCH("Years to stability",Assumptions!A:A,0))-1),MIN(4-1,INDEX(Assumptions!B:B,MATCH("Margin convergence",Assumptions!A:A,0)))/INDEX(Assumptions!B:B,MATCH("Margin convergence",Assumptions!A:A,0)))*(INDEX(Assumptions!B:B,MATCH("Stable net profit margin",Assumptions!A:A,0))-INDEX(Assumptions!B:B,MATCH("FY+1 net profit margin",Assumptions!A:A,0))))))</f>
      </c>
      <c r="G9" s="25">
        <f>=IF(5&gt;INDEX(Assumptions!B:B,MATCH("Years to stability",Assumptions!A:A,0))+1,"",IF(INDEX(Assumptions!B:B,MATCH("Margin convergence",Assumptions!A:A,0))=0,INDEX(Assumptions!B:B,MATCH("FY+1 net profit margin",Assumptions!A:A,0))+IF(INDEX(Assumptions!B:B,MATCH("Margin convergence",Assumptions!A:A,0))=0,(5-1)/(INDEX(Assumptions!B:B,MATCH("Years to stability",Assumptions!A:A,0))-1),MIN(5-1,INDEX(Assumptions!B:B,MATCH("Margin convergence",Assumptions!A:A,0)))/INDEX(Assumptions!B:B,MATCH("Margin convergence",Assumptions!A:A,0)))*(INDEX(Assumptions!B:B,MATCH("Stable net profit margin",Assumptions!A:A,0))-INDEX(Assumptions!B:B,MATCH("FY+1 net profit margin",Assumptions!A:A,0))),IF(5-1&gt;=INDEX(Assumptions!B:B,MATCH("Margin convergence",Assumptions!A:A,0)),INDEX(Assumptions!B:B,MATCH("Stable net profit margin",Assumptions!A:A,0)),INDEX(Assumptions!B:B,MATCH("FY+1 net profit margin",Assumptions!A:A,0))+IF(INDEX(Assumptions!B:B,MATCH("Margin convergence",Assumptions!A:A,0))=0,(5-1)/(INDEX(Assumptions!B:B,MATCH("Years to stability",Assumptions!A:A,0))-1),MIN(5-1,INDEX(Assumptions!B:B,MATCH("Margin convergence",Assumptions!A:A,0)))/INDEX(Assumptions!B:B,MATCH("Margin convergence",Assumptions!A:A,0)))*(INDEX(Assumptions!B:B,MATCH("Stable net profit margin",Assumptions!A:A,0))-INDEX(Assumptions!B:B,MATCH("FY+1 net profit margin",Assumptions!A:A,0))))))</f>
      </c>
      <c r="H9" s="25">
        <f>=IF(6&gt;INDEX(Assumptions!B:B,MATCH("Years to stability",Assumptions!A:A,0))+1,"",IF(INDEX(Assumptions!B:B,MATCH("Margin convergence",Assumptions!A:A,0))=0,INDEX(Assumptions!B:B,MATCH("FY+1 net profit margin",Assumptions!A:A,0))+IF(INDEX(Assumptions!B:B,MATCH("Margin convergence",Assumptions!A:A,0))=0,(6-1)/(INDEX(Assumptions!B:B,MATCH("Years to stability",Assumptions!A:A,0))-1),MIN(6-1,INDEX(Assumptions!B:B,MATCH("Margin convergence",Assumptions!A:A,0)))/INDEX(Assumptions!B:B,MATCH("Margin convergence",Assumptions!A:A,0)))*(INDEX(Assumptions!B:B,MATCH("Stable net profit margin",Assumptions!A:A,0))-INDEX(Assumptions!B:B,MATCH("FY+1 net profit margin",Assumptions!A:A,0))),IF(6-1&gt;=INDEX(Assumptions!B:B,MATCH("Margin convergence",Assumptions!A:A,0)),INDEX(Assumptions!B:B,MATCH("Stable net profit margin",Assumptions!A:A,0)),INDEX(Assumptions!B:B,MATCH("FY+1 net profit margin",Assumptions!A:A,0))+IF(INDEX(Assumptions!B:B,MATCH("Margin convergence",Assumptions!A:A,0))=0,(6-1)/(INDEX(Assumptions!B:B,MATCH("Years to stability",Assumptions!A:A,0))-1),MIN(6-1,INDEX(Assumptions!B:B,MATCH("Margin convergence",Assumptions!A:A,0)))/INDEX(Assumptions!B:B,MATCH("Margin convergence",Assumptions!A:A,0)))*(INDEX(Assumptions!B:B,MATCH("Stable net profit margin",Assumptions!A:A,0))-INDEX(Assumptions!B:B,MATCH("FY+1 net profit margin",Assumptions!A:A,0))))))</f>
      </c>
      <c r="I9" s="25">
        <f>=IF(7&gt;INDEX(Assumptions!B:B,MATCH("Years to stability",Assumptions!A:A,0))+1,"",IF(INDEX(Assumptions!B:B,MATCH("Margin convergence",Assumptions!A:A,0))=0,INDEX(Assumptions!B:B,MATCH("FY+1 net profit margin",Assumptions!A:A,0))+IF(INDEX(Assumptions!B:B,MATCH("Margin convergence",Assumptions!A:A,0))=0,(7-1)/(INDEX(Assumptions!B:B,MATCH("Years to stability",Assumptions!A:A,0))-1),MIN(7-1,INDEX(Assumptions!B:B,MATCH("Margin convergence",Assumptions!A:A,0)))/INDEX(Assumptions!B:B,MATCH("Margin convergence",Assumptions!A:A,0)))*(INDEX(Assumptions!B:B,MATCH("Stable net profit margin",Assumptions!A:A,0))-INDEX(Assumptions!B:B,MATCH("FY+1 net profit margin",Assumptions!A:A,0))),IF(7-1&gt;=INDEX(Assumptions!B:B,MATCH("Margin convergence",Assumptions!A:A,0)),INDEX(Assumptions!B:B,MATCH("Stable net profit margin",Assumptions!A:A,0)),INDEX(Assumptions!B:B,MATCH("FY+1 net profit margin",Assumptions!A:A,0))+IF(INDEX(Assumptions!B:B,MATCH("Margin convergence",Assumptions!A:A,0))=0,(7-1)/(INDEX(Assumptions!B:B,MATCH("Years to stability",Assumptions!A:A,0))-1),MIN(7-1,INDEX(Assumptions!B:B,MATCH("Margin convergence",Assumptions!A:A,0)))/INDEX(Assumptions!B:B,MATCH("Margin convergence",Assumptions!A:A,0)))*(INDEX(Assumptions!B:B,MATCH("Stable net profit margin",Assumptions!A:A,0))-INDEX(Assumptions!B:B,MATCH("FY+1 net profit margin",Assumptions!A:A,0))))))</f>
      </c>
      <c r="J9" s="25">
        <f>=IF(8&gt;INDEX(Assumptions!B:B,MATCH("Years to stability",Assumptions!A:A,0))+1,"",IF(INDEX(Assumptions!B:B,MATCH("Margin convergence",Assumptions!A:A,0))=0,INDEX(Assumptions!B:B,MATCH("FY+1 net profit margin",Assumptions!A:A,0))+IF(INDEX(Assumptions!B:B,MATCH("Margin convergence",Assumptions!A:A,0))=0,(8-1)/(INDEX(Assumptions!B:B,MATCH("Years to stability",Assumptions!A:A,0))-1),MIN(8-1,INDEX(Assumptions!B:B,MATCH("Margin convergence",Assumptions!A:A,0)))/INDEX(Assumptions!B:B,MATCH("Margin convergence",Assumptions!A:A,0)))*(INDEX(Assumptions!B:B,MATCH("Stable net profit margin",Assumptions!A:A,0))-INDEX(Assumptions!B:B,MATCH("FY+1 net profit margin",Assumptions!A:A,0))),IF(8-1&gt;=INDEX(Assumptions!B:B,MATCH("Margin convergence",Assumptions!A:A,0)),INDEX(Assumptions!B:B,MATCH("Stable net profit margin",Assumptions!A:A,0)),INDEX(Assumptions!B:B,MATCH("FY+1 net profit margin",Assumptions!A:A,0))+IF(INDEX(Assumptions!B:B,MATCH("Margin convergence",Assumptions!A:A,0))=0,(8-1)/(INDEX(Assumptions!B:B,MATCH("Years to stability",Assumptions!A:A,0))-1),MIN(8-1,INDEX(Assumptions!B:B,MATCH("Margin convergence",Assumptions!A:A,0)))/INDEX(Assumptions!B:B,MATCH("Margin convergence",Assumptions!A:A,0)))*(INDEX(Assumptions!B:B,MATCH("Stable net profit margin",Assumptions!A:A,0))-INDEX(Assumptions!B:B,MATCH("FY+1 net profit margin",Assumptions!A:A,0))))))</f>
      </c>
      <c r="K9" s="25">
        <f>=IF(9&gt;INDEX(Assumptions!B:B,MATCH("Years to stability",Assumptions!A:A,0))+1,"",IF(INDEX(Assumptions!B:B,MATCH("Margin convergence",Assumptions!A:A,0))=0,INDEX(Assumptions!B:B,MATCH("FY+1 net profit margin",Assumptions!A:A,0))+IF(INDEX(Assumptions!B:B,MATCH("Margin convergence",Assumptions!A:A,0))=0,(9-1)/(INDEX(Assumptions!B:B,MATCH("Years to stability",Assumptions!A:A,0))-1),MIN(9-1,INDEX(Assumptions!B:B,MATCH("Margin convergence",Assumptions!A:A,0)))/INDEX(Assumptions!B:B,MATCH("Margin convergence",Assumptions!A:A,0)))*(INDEX(Assumptions!B:B,MATCH("Stable net profit margin",Assumptions!A:A,0))-INDEX(Assumptions!B:B,MATCH("FY+1 net profit margin",Assumptions!A:A,0))),IF(9-1&gt;=INDEX(Assumptions!B:B,MATCH("Margin convergence",Assumptions!A:A,0)),INDEX(Assumptions!B:B,MATCH("Stable net profit margin",Assumptions!A:A,0)),INDEX(Assumptions!B:B,MATCH("FY+1 net profit margin",Assumptions!A:A,0))+IF(INDEX(Assumptions!B:B,MATCH("Margin convergence",Assumptions!A:A,0))=0,(9-1)/(INDEX(Assumptions!B:B,MATCH("Years to stability",Assumptions!A:A,0))-1),MIN(9-1,INDEX(Assumptions!B:B,MATCH("Margin convergence",Assumptions!A:A,0)))/INDEX(Assumptions!B:B,MATCH("Margin convergence",Assumptions!A:A,0)))*(INDEX(Assumptions!B:B,MATCH("Stable net profit margin",Assumptions!A:A,0))-INDEX(Assumptions!B:B,MATCH("FY+1 net profit margin",Assumptions!A:A,0))))))</f>
      </c>
      <c r="L9" s="25">
        <f>=IF(10&gt;INDEX(Assumptions!B:B,MATCH("Years to stability",Assumptions!A:A,0))+1,"",IF(INDEX(Assumptions!B:B,MATCH("Margin convergence",Assumptions!A:A,0))=0,INDEX(Assumptions!B:B,MATCH("FY+1 net profit margin",Assumptions!A:A,0))+IF(INDEX(Assumptions!B:B,MATCH("Margin convergence",Assumptions!A:A,0))=0,(10-1)/(INDEX(Assumptions!B:B,MATCH("Years to stability",Assumptions!A:A,0))-1),MIN(10-1,INDEX(Assumptions!B:B,MATCH("Margin convergence",Assumptions!A:A,0)))/INDEX(Assumptions!B:B,MATCH("Margin convergence",Assumptions!A:A,0)))*(INDEX(Assumptions!B:B,MATCH("Stable net profit margin",Assumptions!A:A,0))-INDEX(Assumptions!B:B,MATCH("FY+1 net profit margin",Assumptions!A:A,0))),IF(10-1&gt;=INDEX(Assumptions!B:B,MATCH("Margin convergence",Assumptions!A:A,0)),INDEX(Assumptions!B:B,MATCH("Stable net profit margin",Assumptions!A:A,0)),INDEX(Assumptions!B:B,MATCH("FY+1 net profit margin",Assumptions!A:A,0))+IF(INDEX(Assumptions!B:B,MATCH("Margin convergence",Assumptions!A:A,0))=0,(10-1)/(INDEX(Assumptions!B:B,MATCH("Years to stability",Assumptions!A:A,0))-1),MIN(10-1,INDEX(Assumptions!B:B,MATCH("Margin convergence",Assumptions!A:A,0)))/INDEX(Assumptions!B:B,MATCH("Margin convergence",Assumptions!A:A,0)))*(INDEX(Assumptions!B:B,MATCH("Stable net profit margin",Assumptions!A:A,0))-INDEX(Assumptions!B:B,MATCH("FY+1 net profit margin",Assumptions!A:A,0))))))</f>
      </c>
      <c r="M9" s="25">
        <f>=IF(11&gt;INDEX(Assumptions!B:B,MATCH("Years to stability",Assumptions!A:A,0))+1,"",IF(INDEX(Assumptions!B:B,MATCH("Margin convergence",Assumptions!A:A,0))=0,INDEX(Assumptions!B:B,MATCH("FY+1 net profit margin",Assumptions!A:A,0))+IF(INDEX(Assumptions!B:B,MATCH("Margin convergence",Assumptions!A:A,0))=0,(11-1)/(INDEX(Assumptions!B:B,MATCH("Years to stability",Assumptions!A:A,0))-1),MIN(11-1,INDEX(Assumptions!B:B,MATCH("Margin convergence",Assumptions!A:A,0)))/INDEX(Assumptions!B:B,MATCH("Margin convergence",Assumptions!A:A,0)))*(INDEX(Assumptions!B:B,MATCH("Stable net profit margin",Assumptions!A:A,0))-INDEX(Assumptions!B:B,MATCH("FY+1 net profit margin",Assumptions!A:A,0))),IF(11-1&gt;=INDEX(Assumptions!B:B,MATCH("Margin convergence",Assumptions!A:A,0)),INDEX(Assumptions!B:B,MATCH("Stable net profit margin",Assumptions!A:A,0)),INDEX(Assumptions!B:B,MATCH("FY+1 net profit margin",Assumptions!A:A,0))+IF(INDEX(Assumptions!B:B,MATCH("Margin convergence",Assumptions!A:A,0))=0,(11-1)/(INDEX(Assumptions!B:B,MATCH("Years to stability",Assumptions!A:A,0))-1),MIN(11-1,INDEX(Assumptions!B:B,MATCH("Margin convergence",Assumptions!A:A,0)))/INDEX(Assumptions!B:B,MATCH("Margin convergence",Assumptions!A:A,0)))*(INDEX(Assumptions!B:B,MATCH("Stable net profit margin",Assumptions!A:A,0))-INDEX(Assumptions!B:B,MATCH("FY+1 net profit margin",Assumptions!A:A,0))))))</f>
      </c>
      <c r="N9" s="25">
        <f>=IF(12&gt;INDEX(Assumptions!B:B,MATCH("Years to stability",Assumptions!A:A,0))+1,"",IF(INDEX(Assumptions!B:B,MATCH("Margin convergence",Assumptions!A:A,0))=0,INDEX(Assumptions!B:B,MATCH("FY+1 net profit margin",Assumptions!A:A,0))+IF(INDEX(Assumptions!B:B,MATCH("Margin convergence",Assumptions!A:A,0))=0,(12-1)/(INDEX(Assumptions!B:B,MATCH("Years to stability",Assumptions!A:A,0))-1),MIN(12-1,INDEX(Assumptions!B:B,MATCH("Margin convergence",Assumptions!A:A,0)))/INDEX(Assumptions!B:B,MATCH("Margin convergence",Assumptions!A:A,0)))*(INDEX(Assumptions!B:B,MATCH("Stable net profit margin",Assumptions!A:A,0))-INDEX(Assumptions!B:B,MATCH("FY+1 net profit margin",Assumptions!A:A,0))),IF(12-1&gt;=INDEX(Assumptions!B:B,MATCH("Margin convergence",Assumptions!A:A,0)),INDEX(Assumptions!B:B,MATCH("Stable net profit margin",Assumptions!A:A,0)),INDEX(Assumptions!B:B,MATCH("FY+1 net profit margin",Assumptions!A:A,0))+IF(INDEX(Assumptions!B:B,MATCH("Margin convergence",Assumptions!A:A,0))=0,(12-1)/(INDEX(Assumptions!B:B,MATCH("Years to stability",Assumptions!A:A,0))-1),MIN(12-1,INDEX(Assumptions!B:B,MATCH("Margin convergence",Assumptions!A:A,0)))/INDEX(Assumptions!B:B,MATCH("Margin convergence",Assumptions!A:A,0)))*(INDEX(Assumptions!B:B,MATCH("Stable net profit margin",Assumptions!A:A,0))-INDEX(Assumptions!B:B,MATCH("FY+1 net profit margin",Assumptions!A:A,0))))))</f>
      </c>
      <c r="O9" s="25">
        <f>=IF(13&gt;INDEX(Assumptions!B:B,MATCH("Years to stability",Assumptions!A:A,0))+1,"",IF(INDEX(Assumptions!B:B,MATCH("Margin convergence",Assumptions!A:A,0))=0,INDEX(Assumptions!B:B,MATCH("FY+1 net profit margin",Assumptions!A:A,0))+IF(INDEX(Assumptions!B:B,MATCH("Margin convergence",Assumptions!A:A,0))=0,(13-1)/(INDEX(Assumptions!B:B,MATCH("Years to stability",Assumptions!A:A,0))-1),MIN(13-1,INDEX(Assumptions!B:B,MATCH("Margin convergence",Assumptions!A:A,0)))/INDEX(Assumptions!B:B,MATCH("Margin convergence",Assumptions!A:A,0)))*(INDEX(Assumptions!B:B,MATCH("Stable net profit margin",Assumptions!A:A,0))-INDEX(Assumptions!B:B,MATCH("FY+1 net profit margin",Assumptions!A:A,0))),IF(13-1&gt;=INDEX(Assumptions!B:B,MATCH("Margin convergence",Assumptions!A:A,0)),INDEX(Assumptions!B:B,MATCH("Stable net profit margin",Assumptions!A:A,0)),INDEX(Assumptions!B:B,MATCH("FY+1 net profit margin",Assumptions!A:A,0))+IF(INDEX(Assumptions!B:B,MATCH("Margin convergence",Assumptions!A:A,0))=0,(13-1)/(INDEX(Assumptions!B:B,MATCH("Years to stability",Assumptions!A:A,0))-1),MIN(13-1,INDEX(Assumptions!B:B,MATCH("Margin convergence",Assumptions!A:A,0)))/INDEX(Assumptions!B:B,MATCH("Margin convergence",Assumptions!A:A,0)))*(INDEX(Assumptions!B:B,MATCH("Stable net profit margin",Assumptions!A:A,0))-INDEX(Assumptions!B:B,MATCH("FY+1 net profit margin",Assumptions!A:A,0))))))</f>
      </c>
      <c r="P9" s="25">
        <f>=IF(14&gt;INDEX(Assumptions!B:B,MATCH("Years to stability",Assumptions!A:A,0))+1,"",IF(INDEX(Assumptions!B:B,MATCH("Margin convergence",Assumptions!A:A,0))=0,INDEX(Assumptions!B:B,MATCH("FY+1 net profit margin",Assumptions!A:A,0))+IF(INDEX(Assumptions!B:B,MATCH("Margin convergence",Assumptions!A:A,0))=0,(14-1)/(INDEX(Assumptions!B:B,MATCH("Years to stability",Assumptions!A:A,0))-1),MIN(14-1,INDEX(Assumptions!B:B,MATCH("Margin convergence",Assumptions!A:A,0)))/INDEX(Assumptions!B:B,MATCH("Margin convergence",Assumptions!A:A,0)))*(INDEX(Assumptions!B:B,MATCH("Stable net profit margin",Assumptions!A:A,0))-INDEX(Assumptions!B:B,MATCH("FY+1 net profit margin",Assumptions!A:A,0))),IF(14-1&gt;=INDEX(Assumptions!B:B,MATCH("Margin convergence",Assumptions!A:A,0)),INDEX(Assumptions!B:B,MATCH("Stable net profit margin",Assumptions!A:A,0)),INDEX(Assumptions!B:B,MATCH("FY+1 net profit margin",Assumptions!A:A,0))+IF(INDEX(Assumptions!B:B,MATCH("Margin convergence",Assumptions!A:A,0))=0,(14-1)/(INDEX(Assumptions!B:B,MATCH("Years to stability",Assumptions!A:A,0))-1),MIN(14-1,INDEX(Assumptions!B:B,MATCH("Margin convergence",Assumptions!A:A,0)))/INDEX(Assumptions!B:B,MATCH("Margin convergence",Assumptions!A:A,0)))*(INDEX(Assumptions!B:B,MATCH("Stable net profit margin",Assumptions!A:A,0))-INDEX(Assumptions!B:B,MATCH("FY+1 net profit margin",Assumptions!A:A,0))))))</f>
      </c>
      <c r="Q9" s="25">
        <f>=IF(15&gt;INDEX(Assumptions!B:B,MATCH("Years to stability",Assumptions!A:A,0))+1,"",IF(INDEX(Assumptions!B:B,MATCH("Margin convergence",Assumptions!A:A,0))=0,INDEX(Assumptions!B:B,MATCH("FY+1 net profit margin",Assumptions!A:A,0))+IF(INDEX(Assumptions!B:B,MATCH("Margin convergence",Assumptions!A:A,0))=0,(15-1)/(INDEX(Assumptions!B:B,MATCH("Years to stability",Assumptions!A:A,0))-1),MIN(15-1,INDEX(Assumptions!B:B,MATCH("Margin convergence",Assumptions!A:A,0)))/INDEX(Assumptions!B:B,MATCH("Margin convergence",Assumptions!A:A,0)))*(INDEX(Assumptions!B:B,MATCH("Stable net profit margin",Assumptions!A:A,0))-INDEX(Assumptions!B:B,MATCH("FY+1 net profit margin",Assumptions!A:A,0))),IF(15-1&gt;=INDEX(Assumptions!B:B,MATCH("Margin convergence",Assumptions!A:A,0)),INDEX(Assumptions!B:B,MATCH("Stable net profit margin",Assumptions!A:A,0)),INDEX(Assumptions!B:B,MATCH("FY+1 net profit margin",Assumptions!A:A,0))+IF(INDEX(Assumptions!B:B,MATCH("Margin convergence",Assumptions!A:A,0))=0,(15-1)/(INDEX(Assumptions!B:B,MATCH("Years to stability",Assumptions!A:A,0))-1),MIN(15-1,INDEX(Assumptions!B:B,MATCH("Margin convergence",Assumptions!A:A,0)))/INDEX(Assumptions!B:B,MATCH("Margin convergence",Assumptions!A:A,0)))*(INDEX(Assumptions!B:B,MATCH("Stable net profit margin",Assumptions!A:A,0))-INDEX(Assumptions!B:B,MATCH("FY+1 net profit margin",Assumptions!A:A,0))))))</f>
      </c>
      <c r="R9" s="25">
        <f>=IF(16&gt;INDEX(Assumptions!B:B,MATCH("Years to stability",Assumptions!A:A,0))+1,"",IF(INDEX(Assumptions!B:B,MATCH("Margin convergence",Assumptions!A:A,0))=0,INDEX(Assumptions!B:B,MATCH("FY+1 net profit margin",Assumptions!A:A,0))+IF(INDEX(Assumptions!B:B,MATCH("Margin convergence",Assumptions!A:A,0))=0,(16-1)/(INDEX(Assumptions!B:B,MATCH("Years to stability",Assumptions!A:A,0))-1),MIN(16-1,INDEX(Assumptions!B:B,MATCH("Margin convergence",Assumptions!A:A,0)))/INDEX(Assumptions!B:B,MATCH("Margin convergence",Assumptions!A:A,0)))*(INDEX(Assumptions!B:B,MATCH("Stable net profit margin",Assumptions!A:A,0))-INDEX(Assumptions!B:B,MATCH("FY+1 net profit margin",Assumptions!A:A,0))),IF(16-1&gt;=INDEX(Assumptions!B:B,MATCH("Margin convergence",Assumptions!A:A,0)),INDEX(Assumptions!B:B,MATCH("Stable net profit margin",Assumptions!A:A,0)),INDEX(Assumptions!B:B,MATCH("FY+1 net profit margin",Assumptions!A:A,0))+IF(INDEX(Assumptions!B:B,MATCH("Margin convergence",Assumptions!A:A,0))=0,(16-1)/(INDEX(Assumptions!B:B,MATCH("Years to stability",Assumptions!A:A,0))-1),MIN(16-1,INDEX(Assumptions!B:B,MATCH("Margin convergence",Assumptions!A:A,0)))/INDEX(Assumptions!B:B,MATCH("Margin convergence",Assumptions!A:A,0)))*(INDEX(Assumptions!B:B,MATCH("Stable net profit margin",Assumptions!A:A,0))-INDEX(Assumptions!B:B,MATCH("FY+1 net profit margin",Assumptions!A:A,0))))))</f>
      </c>
      <c r="S9" s="25">
        <f>=IF(17&gt;INDEX(Assumptions!B:B,MATCH("Years to stability",Assumptions!A:A,0))+1,"",IF(INDEX(Assumptions!B:B,MATCH("Margin convergence",Assumptions!A:A,0))=0,INDEX(Assumptions!B:B,MATCH("FY+1 net profit margin",Assumptions!A:A,0))+IF(INDEX(Assumptions!B:B,MATCH("Margin convergence",Assumptions!A:A,0))=0,(17-1)/(INDEX(Assumptions!B:B,MATCH("Years to stability",Assumptions!A:A,0))-1),MIN(17-1,INDEX(Assumptions!B:B,MATCH("Margin convergence",Assumptions!A:A,0)))/INDEX(Assumptions!B:B,MATCH("Margin convergence",Assumptions!A:A,0)))*(INDEX(Assumptions!B:B,MATCH("Stable net profit margin",Assumptions!A:A,0))-INDEX(Assumptions!B:B,MATCH("FY+1 net profit margin",Assumptions!A:A,0))),IF(17-1&gt;=INDEX(Assumptions!B:B,MATCH("Margin convergence",Assumptions!A:A,0)),INDEX(Assumptions!B:B,MATCH("Stable net profit margin",Assumptions!A:A,0)),INDEX(Assumptions!B:B,MATCH("FY+1 net profit margin",Assumptions!A:A,0))+IF(INDEX(Assumptions!B:B,MATCH("Margin convergence",Assumptions!A:A,0))=0,(17-1)/(INDEX(Assumptions!B:B,MATCH("Years to stability",Assumptions!A:A,0))-1),MIN(17-1,INDEX(Assumptions!B:B,MATCH("Margin convergence",Assumptions!A:A,0)))/INDEX(Assumptions!B:B,MATCH("Margin convergence",Assumptions!A:A,0)))*(INDEX(Assumptions!B:B,MATCH("Stable net profit margin",Assumptions!A:A,0))-INDEX(Assumptions!B:B,MATCH("FY+1 net profit margin",Assumptions!A:A,0))))))</f>
      </c>
      <c r="T9" s="25">
        <f>=IF(18&gt;INDEX(Assumptions!B:B,MATCH("Years to stability",Assumptions!A:A,0))+1,"",IF(INDEX(Assumptions!B:B,MATCH("Margin convergence",Assumptions!A:A,0))=0,INDEX(Assumptions!B:B,MATCH("FY+1 net profit margin",Assumptions!A:A,0))+IF(INDEX(Assumptions!B:B,MATCH("Margin convergence",Assumptions!A:A,0))=0,(18-1)/(INDEX(Assumptions!B:B,MATCH("Years to stability",Assumptions!A:A,0))-1),MIN(18-1,INDEX(Assumptions!B:B,MATCH("Margin convergence",Assumptions!A:A,0)))/INDEX(Assumptions!B:B,MATCH("Margin convergence",Assumptions!A:A,0)))*(INDEX(Assumptions!B:B,MATCH("Stable net profit margin",Assumptions!A:A,0))-INDEX(Assumptions!B:B,MATCH("FY+1 net profit margin",Assumptions!A:A,0))),IF(18-1&gt;=INDEX(Assumptions!B:B,MATCH("Margin convergence",Assumptions!A:A,0)),INDEX(Assumptions!B:B,MATCH("Stable net profit margin",Assumptions!A:A,0)),INDEX(Assumptions!B:B,MATCH("FY+1 net profit margin",Assumptions!A:A,0))+IF(INDEX(Assumptions!B:B,MATCH("Margin convergence",Assumptions!A:A,0))=0,(18-1)/(INDEX(Assumptions!B:B,MATCH("Years to stability",Assumptions!A:A,0))-1),MIN(18-1,INDEX(Assumptions!B:B,MATCH("Margin convergence",Assumptions!A:A,0)))/INDEX(Assumptions!B:B,MATCH("Margin convergence",Assumptions!A:A,0)))*(INDEX(Assumptions!B:B,MATCH("Stable net profit margin",Assumptions!A:A,0))-INDEX(Assumptions!B:B,MATCH("FY+1 net profit margin",Assumptions!A:A,0))))))</f>
      </c>
      <c r="U9" s="25">
        <f>=IF(19&gt;INDEX(Assumptions!B:B,MATCH("Years to stability",Assumptions!A:A,0))+1,"",IF(INDEX(Assumptions!B:B,MATCH("Margin convergence",Assumptions!A:A,0))=0,INDEX(Assumptions!B:B,MATCH("FY+1 net profit margin",Assumptions!A:A,0))+IF(INDEX(Assumptions!B:B,MATCH("Margin convergence",Assumptions!A:A,0))=0,(19-1)/(INDEX(Assumptions!B:B,MATCH("Years to stability",Assumptions!A:A,0))-1),MIN(19-1,INDEX(Assumptions!B:B,MATCH("Margin convergence",Assumptions!A:A,0)))/INDEX(Assumptions!B:B,MATCH("Margin convergence",Assumptions!A:A,0)))*(INDEX(Assumptions!B:B,MATCH("Stable net profit margin",Assumptions!A:A,0))-INDEX(Assumptions!B:B,MATCH("FY+1 net profit margin",Assumptions!A:A,0))),IF(19-1&gt;=INDEX(Assumptions!B:B,MATCH("Margin convergence",Assumptions!A:A,0)),INDEX(Assumptions!B:B,MATCH("Stable net profit margin",Assumptions!A:A,0)),INDEX(Assumptions!B:B,MATCH("FY+1 net profit margin",Assumptions!A:A,0))+IF(INDEX(Assumptions!B:B,MATCH("Margin convergence",Assumptions!A:A,0))=0,(19-1)/(INDEX(Assumptions!B:B,MATCH("Years to stability",Assumptions!A:A,0))-1),MIN(19-1,INDEX(Assumptions!B:B,MATCH("Margin convergence",Assumptions!A:A,0)))/INDEX(Assumptions!B:B,MATCH("Margin convergence",Assumptions!A:A,0)))*(INDEX(Assumptions!B:B,MATCH("Stable net profit margin",Assumptions!A:A,0))-INDEX(Assumptions!B:B,MATCH("FY+1 net profit margin",Assumptions!A:A,0))))))</f>
      </c>
      <c r="V9" s="25">
        <f>=IF(20&gt;INDEX(Assumptions!B:B,MATCH("Years to stability",Assumptions!A:A,0))+1,"",IF(INDEX(Assumptions!B:B,MATCH("Margin convergence",Assumptions!A:A,0))=0,INDEX(Assumptions!B:B,MATCH("FY+1 net profit margin",Assumptions!A:A,0))+IF(INDEX(Assumptions!B:B,MATCH("Margin convergence",Assumptions!A:A,0))=0,(20-1)/(INDEX(Assumptions!B:B,MATCH("Years to stability",Assumptions!A:A,0))-1),MIN(20-1,INDEX(Assumptions!B:B,MATCH("Margin convergence",Assumptions!A:A,0)))/INDEX(Assumptions!B:B,MATCH("Margin convergence",Assumptions!A:A,0)))*(INDEX(Assumptions!B:B,MATCH("Stable net profit margin",Assumptions!A:A,0))-INDEX(Assumptions!B:B,MATCH("FY+1 net profit margin",Assumptions!A:A,0))),IF(20-1&gt;=INDEX(Assumptions!B:B,MATCH("Margin convergence",Assumptions!A:A,0)),INDEX(Assumptions!B:B,MATCH("Stable net profit margin",Assumptions!A:A,0)),INDEX(Assumptions!B:B,MATCH("FY+1 net profit margin",Assumptions!A:A,0))+IF(INDEX(Assumptions!B:B,MATCH("Margin convergence",Assumptions!A:A,0))=0,(20-1)/(INDEX(Assumptions!B:B,MATCH("Years to stability",Assumptions!A:A,0))-1),MIN(20-1,INDEX(Assumptions!B:B,MATCH("Margin convergence",Assumptions!A:A,0)))/INDEX(Assumptions!B:B,MATCH("Margin convergence",Assumptions!A:A,0)))*(INDEX(Assumptions!B:B,MATCH("Stable net profit margin",Assumptions!A:A,0))-INDEX(Assumptions!B:B,MATCH("FY+1 net profit margin",Assumptions!A:A,0))))))</f>
      </c>
      <c r="W9" s="25">
        <f>=IF(21&gt;INDEX(Assumptions!B:B,MATCH("Years to stability",Assumptions!A:A,0))+1,"",IF(INDEX(Assumptions!B:B,MATCH("Margin convergence",Assumptions!A:A,0))=0,INDEX(Assumptions!B:B,MATCH("FY+1 net profit margin",Assumptions!A:A,0))+IF(INDEX(Assumptions!B:B,MATCH("Margin convergence",Assumptions!A:A,0))=0,(21-1)/(INDEX(Assumptions!B:B,MATCH("Years to stability",Assumptions!A:A,0))-1),MIN(21-1,INDEX(Assumptions!B:B,MATCH("Margin convergence",Assumptions!A:A,0)))/INDEX(Assumptions!B:B,MATCH("Margin convergence",Assumptions!A:A,0)))*(INDEX(Assumptions!B:B,MATCH("Stable net profit margin",Assumptions!A:A,0))-INDEX(Assumptions!B:B,MATCH("FY+1 net profit margin",Assumptions!A:A,0))),IF(21-1&gt;=INDEX(Assumptions!B:B,MATCH("Margin convergence",Assumptions!A:A,0)),INDEX(Assumptions!B:B,MATCH("Stable net profit margin",Assumptions!A:A,0)),INDEX(Assumptions!B:B,MATCH("FY+1 net profit margin",Assumptions!A:A,0))+IF(INDEX(Assumptions!B:B,MATCH("Margin convergence",Assumptions!A:A,0))=0,(21-1)/(INDEX(Assumptions!B:B,MATCH("Years to stability",Assumptions!A:A,0))-1),MIN(21-1,INDEX(Assumptions!B:B,MATCH("Margin convergence",Assumptions!A:A,0)))/INDEX(Assumptions!B:B,MATCH("Margin convergence",Assumptions!A:A,0)))*(INDEX(Assumptions!B:B,MATCH("Stable net profit margin",Assumptions!A:A,0))-INDEX(Assumptions!B:B,MATCH("FY+1 net profit margin",Assumptions!A:A,0))))))</f>
      </c>
    </row>
    <row r="10" spans="1:23" x14ac:dyDescent="0.25">
      <c r="A10" s="11" t="s">
        <v>69</v>
      </c>
      <c r="B10" s="24">
        <f>=INDEX(Financials!B:B,MATCH("Reinvestment",Financials!A:A,0))</f>
      </c>
      <c r="C10" s="24">
        <f>=IF(1&lt;=INDEX(Assumptions!B:B,MATCH("Years to stability",Assumptions!A:A,0))+1,IF(1=INDEX(Assumptions!B:B,MATCH("Years to stability",Assumptions!A:A,0))+1,C8*INDEX(Assumptions!B:B,MATCH("Stable growth rate",Assumptions!A:A,0))/INDEX(Assumptions!B:B,MATCH("Stable ROE",Assumptions!A:A,0)),(C5-B5)/INDEX(Assumptions!B:B,MATCH("Sales-to-equity ratio",Assumptions!A:A,0))),"")</f>
      </c>
      <c r="D10" s="24">
        <f>=IF(2&lt;=INDEX(Assumptions!B:B,MATCH("Years to stability",Assumptions!A:A,0))+1,IF(2=INDEX(Assumptions!B:B,MATCH("Years to stability",Assumptions!A:A,0))+1,D8*INDEX(Assumptions!B:B,MATCH("Stable growth rate",Assumptions!A:A,0))/INDEX(Assumptions!B:B,MATCH("Stable ROE",Assumptions!A:A,0)),(D5-C5)/INDEX(Assumptions!B:B,MATCH("Sales-to-equity ratio",Assumptions!A:A,0))),"")</f>
      </c>
      <c r="E10" s="24">
        <f>=IF(3&lt;=INDEX(Assumptions!B:B,MATCH("Years to stability",Assumptions!A:A,0))+1,IF(3=INDEX(Assumptions!B:B,MATCH("Years to stability",Assumptions!A:A,0))+1,E8*INDEX(Assumptions!B:B,MATCH("Stable growth rate",Assumptions!A:A,0))/INDEX(Assumptions!B:B,MATCH("Stable ROE",Assumptions!A:A,0)),(E5-D5)/INDEX(Assumptions!B:B,MATCH("Sales-to-equity ratio",Assumptions!A:A,0))),"")</f>
      </c>
      <c r="F10" s="24">
        <f>=IF(4&lt;=INDEX(Assumptions!B:B,MATCH("Years to stability",Assumptions!A:A,0))+1,IF(4=INDEX(Assumptions!B:B,MATCH("Years to stability",Assumptions!A:A,0))+1,F8*INDEX(Assumptions!B:B,MATCH("Stable growth rate",Assumptions!A:A,0))/INDEX(Assumptions!B:B,MATCH("Stable ROE",Assumptions!A:A,0)),(F5-E5)/INDEX(Assumptions!B:B,MATCH("Sales-to-equity ratio",Assumptions!A:A,0))),"")</f>
      </c>
      <c r="G10" s="24">
        <f>=IF(5&lt;=INDEX(Assumptions!B:B,MATCH("Years to stability",Assumptions!A:A,0))+1,IF(5=INDEX(Assumptions!B:B,MATCH("Years to stability",Assumptions!A:A,0))+1,G8*INDEX(Assumptions!B:B,MATCH("Stable growth rate",Assumptions!A:A,0))/INDEX(Assumptions!B:B,MATCH("Stable ROE",Assumptions!A:A,0)),(G5-F5)/INDEX(Assumptions!B:B,MATCH("Sales-to-equity ratio",Assumptions!A:A,0))),"")</f>
      </c>
      <c r="H10" s="24">
        <f>=IF(6&lt;=INDEX(Assumptions!B:B,MATCH("Years to stability",Assumptions!A:A,0))+1,IF(6=INDEX(Assumptions!B:B,MATCH("Years to stability",Assumptions!A:A,0))+1,H8*INDEX(Assumptions!B:B,MATCH("Stable growth rate",Assumptions!A:A,0))/INDEX(Assumptions!B:B,MATCH("Stable ROE",Assumptions!A:A,0)),(H5-G5)/INDEX(Assumptions!B:B,MATCH("Sales-to-equity ratio",Assumptions!A:A,0))),"")</f>
      </c>
      <c r="I10" s="24">
        <f>=IF(7&lt;=INDEX(Assumptions!B:B,MATCH("Years to stability",Assumptions!A:A,0))+1,IF(7=INDEX(Assumptions!B:B,MATCH("Years to stability",Assumptions!A:A,0))+1,I8*INDEX(Assumptions!B:B,MATCH("Stable growth rate",Assumptions!A:A,0))/INDEX(Assumptions!B:B,MATCH("Stable ROE",Assumptions!A:A,0)),(I5-H5)/INDEX(Assumptions!B:B,MATCH("Sales-to-equity ratio",Assumptions!A:A,0))),"")</f>
      </c>
      <c r="J10" s="24">
        <f>=IF(8&lt;=INDEX(Assumptions!B:B,MATCH("Years to stability",Assumptions!A:A,0))+1,IF(8=INDEX(Assumptions!B:B,MATCH("Years to stability",Assumptions!A:A,0))+1,J8*INDEX(Assumptions!B:B,MATCH("Stable growth rate",Assumptions!A:A,0))/INDEX(Assumptions!B:B,MATCH("Stable ROE",Assumptions!A:A,0)),(J5-I5)/INDEX(Assumptions!B:B,MATCH("Sales-to-equity ratio",Assumptions!A:A,0))),"")</f>
      </c>
      <c r="K10" s="24">
        <f>=IF(9&lt;=INDEX(Assumptions!B:B,MATCH("Years to stability",Assumptions!A:A,0))+1,IF(9=INDEX(Assumptions!B:B,MATCH("Years to stability",Assumptions!A:A,0))+1,K8*INDEX(Assumptions!B:B,MATCH("Stable growth rate",Assumptions!A:A,0))/INDEX(Assumptions!B:B,MATCH("Stable ROE",Assumptions!A:A,0)),(K5-J5)/INDEX(Assumptions!B:B,MATCH("Sales-to-equity ratio",Assumptions!A:A,0))),"")</f>
      </c>
      <c r="L10" s="24">
        <f>=IF(10&lt;=INDEX(Assumptions!B:B,MATCH("Years to stability",Assumptions!A:A,0))+1,IF(10=INDEX(Assumptions!B:B,MATCH("Years to stability",Assumptions!A:A,0))+1,L8*INDEX(Assumptions!B:B,MATCH("Stable growth rate",Assumptions!A:A,0))/INDEX(Assumptions!B:B,MATCH("Stable ROE",Assumptions!A:A,0)),(L5-K5)/INDEX(Assumptions!B:B,MATCH("Sales-to-equity ratio",Assumptions!A:A,0))),"")</f>
      </c>
      <c r="M10" s="24">
        <f>=IF(11&lt;=INDEX(Assumptions!B:B,MATCH("Years to stability",Assumptions!A:A,0))+1,IF(11=INDEX(Assumptions!B:B,MATCH("Years to stability",Assumptions!A:A,0))+1,M8*INDEX(Assumptions!B:B,MATCH("Stable growth rate",Assumptions!A:A,0))/INDEX(Assumptions!B:B,MATCH("Stable ROE",Assumptions!A:A,0)),(M5-L5)/INDEX(Assumptions!B:B,MATCH("Sales-to-equity ratio",Assumptions!A:A,0))),"")</f>
      </c>
      <c r="N10" s="24">
        <f>=IF(12&lt;=INDEX(Assumptions!B:B,MATCH("Years to stability",Assumptions!A:A,0))+1,IF(12=INDEX(Assumptions!B:B,MATCH("Years to stability",Assumptions!A:A,0))+1,N8*INDEX(Assumptions!B:B,MATCH("Stable growth rate",Assumptions!A:A,0))/INDEX(Assumptions!B:B,MATCH("Stable ROE",Assumptions!A:A,0)),(N5-M5)/INDEX(Assumptions!B:B,MATCH("Sales-to-equity ratio",Assumptions!A:A,0))),"")</f>
      </c>
      <c r="O10" s="24">
        <f>=IF(13&lt;=INDEX(Assumptions!B:B,MATCH("Years to stability",Assumptions!A:A,0))+1,IF(13=INDEX(Assumptions!B:B,MATCH("Years to stability",Assumptions!A:A,0))+1,O8*INDEX(Assumptions!B:B,MATCH("Stable growth rate",Assumptions!A:A,0))/INDEX(Assumptions!B:B,MATCH("Stable ROE",Assumptions!A:A,0)),(O5-N5)/INDEX(Assumptions!B:B,MATCH("Sales-to-equity ratio",Assumptions!A:A,0))),"")</f>
      </c>
      <c r="P10" s="24">
        <f>=IF(14&lt;=INDEX(Assumptions!B:B,MATCH("Years to stability",Assumptions!A:A,0))+1,IF(14=INDEX(Assumptions!B:B,MATCH("Years to stability",Assumptions!A:A,0))+1,P8*INDEX(Assumptions!B:B,MATCH("Stable growth rate",Assumptions!A:A,0))/INDEX(Assumptions!B:B,MATCH("Stable ROE",Assumptions!A:A,0)),(P5-O5)/INDEX(Assumptions!B:B,MATCH("Sales-to-equity ratio",Assumptions!A:A,0))),"")</f>
      </c>
      <c r="Q10" s="24">
        <f>=IF(15&lt;=INDEX(Assumptions!B:B,MATCH("Years to stability",Assumptions!A:A,0))+1,IF(15=INDEX(Assumptions!B:B,MATCH("Years to stability",Assumptions!A:A,0))+1,Q8*INDEX(Assumptions!B:B,MATCH("Stable growth rate",Assumptions!A:A,0))/INDEX(Assumptions!B:B,MATCH("Stable ROE",Assumptions!A:A,0)),(Q5-P5)/INDEX(Assumptions!B:B,MATCH("Sales-to-equity ratio",Assumptions!A:A,0))),"")</f>
      </c>
      <c r="R10" s="24">
        <f>=IF(16&lt;=INDEX(Assumptions!B:B,MATCH("Years to stability",Assumptions!A:A,0))+1,IF(16=INDEX(Assumptions!B:B,MATCH("Years to stability",Assumptions!A:A,0))+1,R8*INDEX(Assumptions!B:B,MATCH("Stable growth rate",Assumptions!A:A,0))/INDEX(Assumptions!B:B,MATCH("Stable ROE",Assumptions!A:A,0)),(R5-Q5)/INDEX(Assumptions!B:B,MATCH("Sales-to-equity ratio",Assumptions!A:A,0))),"")</f>
      </c>
      <c r="S10" s="24">
        <f>=IF(17&lt;=INDEX(Assumptions!B:B,MATCH("Years to stability",Assumptions!A:A,0))+1,IF(17=INDEX(Assumptions!B:B,MATCH("Years to stability",Assumptions!A:A,0))+1,S8*INDEX(Assumptions!B:B,MATCH("Stable growth rate",Assumptions!A:A,0))/INDEX(Assumptions!B:B,MATCH("Stable ROE",Assumptions!A:A,0)),(S5-R5)/INDEX(Assumptions!B:B,MATCH("Sales-to-equity ratio",Assumptions!A:A,0))),"")</f>
      </c>
      <c r="T10" s="24">
        <f>=IF(18&lt;=INDEX(Assumptions!B:B,MATCH("Years to stability",Assumptions!A:A,0))+1,IF(18=INDEX(Assumptions!B:B,MATCH("Years to stability",Assumptions!A:A,0))+1,T8*INDEX(Assumptions!B:B,MATCH("Stable growth rate",Assumptions!A:A,0))/INDEX(Assumptions!B:B,MATCH("Stable ROE",Assumptions!A:A,0)),(T5-S5)/INDEX(Assumptions!B:B,MATCH("Sales-to-equity ratio",Assumptions!A:A,0))),"")</f>
      </c>
      <c r="U10" s="24">
        <f>=IF(19&lt;=INDEX(Assumptions!B:B,MATCH("Years to stability",Assumptions!A:A,0))+1,IF(19=INDEX(Assumptions!B:B,MATCH("Years to stability",Assumptions!A:A,0))+1,U8*INDEX(Assumptions!B:B,MATCH("Stable growth rate",Assumptions!A:A,0))/INDEX(Assumptions!B:B,MATCH("Stable ROE",Assumptions!A:A,0)),(U5-T5)/INDEX(Assumptions!B:B,MATCH("Sales-to-equity ratio",Assumptions!A:A,0))),"")</f>
      </c>
      <c r="V10" s="24">
        <f>=IF(20&lt;=INDEX(Assumptions!B:B,MATCH("Years to stability",Assumptions!A:A,0))+1,IF(20=INDEX(Assumptions!B:B,MATCH("Years to stability",Assumptions!A:A,0))+1,V8*INDEX(Assumptions!B:B,MATCH("Stable growth rate",Assumptions!A:A,0))/INDEX(Assumptions!B:B,MATCH("Stable ROE",Assumptions!A:A,0)),(V5-U5)/INDEX(Assumptions!B:B,MATCH("Sales-to-equity ratio",Assumptions!A:A,0))),"")</f>
      </c>
      <c r="W10" s="24">
        <f>=IF(21&lt;=INDEX(Assumptions!B:B,MATCH("Years to stability",Assumptions!A:A,0))+1,IF(21=INDEX(Assumptions!B:B,MATCH("Years to stability",Assumptions!A:A,0))+1,W8*INDEX(Assumptions!B:B,MATCH("Stable growth rate",Assumptions!A:A,0))/INDEX(Assumptions!B:B,MATCH("Stable ROE",Assumptions!A:A,0)),(W5-V5)/INDEX(Assumptions!B:B,MATCH("Sales-to-equity ratio",Assumptions!A:A,0))),"")</f>
      </c>
    </row>
    <row r="11" spans="1:23" x14ac:dyDescent="0.25">
      <c r="A11" s="11" t="s">
        <v>70</v>
      </c>
      <c r="B11" s="24">
        <f>=INDEX(Financials!B:B,MATCH("Adjusted Equity",Financials!A:A,0))</f>
      </c>
      <c r="C11" s="24">
        <f>=IF(1&lt;=INDEX(Assumptions!B:B,MATCH("Years to stability",Assumptions!A:A,0))+1,B11+C10,"")</f>
      </c>
      <c r="D11" s="24">
        <f>=IF(2&lt;=INDEX(Assumptions!B:B,MATCH("Years to stability",Assumptions!A:A,0))+1,C11+D10,"")</f>
      </c>
      <c r="E11" s="24">
        <f>=IF(3&lt;=INDEX(Assumptions!B:B,MATCH("Years to stability",Assumptions!A:A,0))+1,D11+E10,"")</f>
      </c>
      <c r="F11" s="24">
        <f>=IF(4&lt;=INDEX(Assumptions!B:B,MATCH("Years to stability",Assumptions!A:A,0))+1,E11+F10,"")</f>
      </c>
      <c r="G11" s="24">
        <f>=IF(5&lt;=INDEX(Assumptions!B:B,MATCH("Years to stability",Assumptions!A:A,0))+1,F11+G10,"")</f>
      </c>
      <c r="H11" s="24">
        <f>=IF(6&lt;=INDEX(Assumptions!B:B,MATCH("Years to stability",Assumptions!A:A,0))+1,G11+H10,"")</f>
      </c>
      <c r="I11" s="24">
        <f>=IF(7&lt;=INDEX(Assumptions!B:B,MATCH("Years to stability",Assumptions!A:A,0))+1,H11+I10,"")</f>
      </c>
      <c r="J11" s="24">
        <f>=IF(8&lt;=INDEX(Assumptions!B:B,MATCH("Years to stability",Assumptions!A:A,0))+1,I11+J10,"")</f>
      </c>
      <c r="K11" s="24">
        <f>=IF(9&lt;=INDEX(Assumptions!B:B,MATCH("Years to stability",Assumptions!A:A,0))+1,J11+K10,"")</f>
      </c>
      <c r="L11" s="24">
        <f>=IF(10&lt;=INDEX(Assumptions!B:B,MATCH("Years to stability",Assumptions!A:A,0))+1,K11+L10,"")</f>
      </c>
      <c r="M11" s="24">
        <f>=IF(11&lt;=INDEX(Assumptions!B:B,MATCH("Years to stability",Assumptions!A:A,0))+1,L11+M10,"")</f>
      </c>
      <c r="N11" s="24">
        <f>=IF(12&lt;=INDEX(Assumptions!B:B,MATCH("Years to stability",Assumptions!A:A,0))+1,M11+N10,"")</f>
      </c>
      <c r="O11" s="24">
        <f>=IF(13&lt;=INDEX(Assumptions!B:B,MATCH("Years to stability",Assumptions!A:A,0))+1,N11+O10,"")</f>
      </c>
      <c r="P11" s="24">
        <f>=IF(14&lt;=INDEX(Assumptions!B:B,MATCH("Years to stability",Assumptions!A:A,0))+1,O11+P10,"")</f>
      </c>
      <c r="Q11" s="24">
        <f>=IF(15&lt;=INDEX(Assumptions!B:B,MATCH("Years to stability",Assumptions!A:A,0))+1,P11+Q10,"")</f>
      </c>
      <c r="R11" s="24">
        <f>=IF(16&lt;=INDEX(Assumptions!B:B,MATCH("Years to stability",Assumptions!A:A,0))+1,Q11+R10,"")</f>
      </c>
      <c r="S11" s="24">
        <f>=IF(17&lt;=INDEX(Assumptions!B:B,MATCH("Years to stability",Assumptions!A:A,0))+1,R11+S10,"")</f>
      </c>
      <c r="T11" s="24">
        <f>=IF(18&lt;=INDEX(Assumptions!B:B,MATCH("Years to stability",Assumptions!A:A,0))+1,S11+T10,"")</f>
      </c>
      <c r="U11" s="24">
        <f>=IF(19&lt;=INDEX(Assumptions!B:B,MATCH("Years to stability",Assumptions!A:A,0))+1,T11+U10,"")</f>
      </c>
      <c r="V11" s="24">
        <f>=IF(20&lt;=INDEX(Assumptions!B:B,MATCH("Years to stability",Assumptions!A:A,0))+1,U11+V10,"")</f>
      </c>
      <c r="W11" s="24">
        <f>=IF(21&lt;=INDEX(Assumptions!B:B,MATCH("Years to stability",Assumptions!A:A,0))+1,V11+W10,"")</f>
      </c>
    </row>
    <row r="12" spans="1:23" x14ac:dyDescent="0.25">
      <c r="A12" s="11" t="s">
        <v>71</v>
      </c>
      <c r="B12" s="25">
        <f>=B8/B11</f>
      </c>
      <c r="C12" s="25">
        <f>=IF(1&gt;INDEX(Assumptions!B:B,MATCH("Years to stability",Assumptions!A:A,0))+1,"",IF(1=INDEX(Assumptions!B:B,MATCH("Years to stability",Assumptions!A:A,0))+1,INDEX(Assumptions!B:B,MATCH("Stable ROE",Assumptions!A:A,0)),C8/C11))</f>
      </c>
      <c r="D12" s="25">
        <f>=IF(2&gt;INDEX(Assumptions!B:B,MATCH("Years to stability",Assumptions!A:A,0))+1,"",IF(2=INDEX(Assumptions!B:B,MATCH("Years to stability",Assumptions!A:A,0))+1,INDEX(Assumptions!B:B,MATCH("Stable ROE",Assumptions!A:A,0)),D8/D11))</f>
      </c>
      <c r="E12" s="25">
        <f>=IF(3&gt;INDEX(Assumptions!B:B,MATCH("Years to stability",Assumptions!A:A,0))+1,"",IF(3=INDEX(Assumptions!B:B,MATCH("Years to stability",Assumptions!A:A,0))+1,INDEX(Assumptions!B:B,MATCH("Stable ROE",Assumptions!A:A,0)),E8/E11))</f>
      </c>
      <c r="F12" s="25">
        <f>=IF(4&gt;INDEX(Assumptions!B:B,MATCH("Years to stability",Assumptions!A:A,0))+1,"",IF(4=INDEX(Assumptions!B:B,MATCH("Years to stability",Assumptions!A:A,0))+1,INDEX(Assumptions!B:B,MATCH("Stable ROE",Assumptions!A:A,0)),F8/F11))</f>
      </c>
      <c r="G12" s="25">
        <f>=IF(5&gt;INDEX(Assumptions!B:B,MATCH("Years to stability",Assumptions!A:A,0))+1,"",IF(5=INDEX(Assumptions!B:B,MATCH("Years to stability",Assumptions!A:A,0))+1,INDEX(Assumptions!B:B,MATCH("Stable ROE",Assumptions!A:A,0)),G8/G11))</f>
      </c>
      <c r="H12" s="25">
        <f>=IF(6&gt;INDEX(Assumptions!B:B,MATCH("Years to stability",Assumptions!A:A,0))+1,"",IF(6=INDEX(Assumptions!B:B,MATCH("Years to stability",Assumptions!A:A,0))+1,INDEX(Assumptions!B:B,MATCH("Stable ROE",Assumptions!A:A,0)),H8/H11))</f>
      </c>
      <c r="I12" s="25">
        <f>=IF(7&gt;INDEX(Assumptions!B:B,MATCH("Years to stability",Assumptions!A:A,0))+1,"",IF(7=INDEX(Assumptions!B:B,MATCH("Years to stability",Assumptions!A:A,0))+1,INDEX(Assumptions!B:B,MATCH("Stable ROE",Assumptions!A:A,0)),I8/I11))</f>
      </c>
      <c r="J12" s="25">
        <f>=IF(8&gt;INDEX(Assumptions!B:B,MATCH("Years to stability",Assumptions!A:A,0))+1,"",IF(8=INDEX(Assumptions!B:B,MATCH("Years to stability",Assumptions!A:A,0))+1,INDEX(Assumptions!B:B,MATCH("Stable ROE",Assumptions!A:A,0)),J8/J11))</f>
      </c>
      <c r="K12" s="25">
        <f>=IF(9&gt;INDEX(Assumptions!B:B,MATCH("Years to stability",Assumptions!A:A,0))+1,"",IF(9=INDEX(Assumptions!B:B,MATCH("Years to stability",Assumptions!A:A,0))+1,INDEX(Assumptions!B:B,MATCH("Stable ROE",Assumptions!A:A,0)),K8/K11))</f>
      </c>
      <c r="L12" s="25">
        <f>=IF(10&gt;INDEX(Assumptions!B:B,MATCH("Years to stability",Assumptions!A:A,0))+1,"",IF(10=INDEX(Assumptions!B:B,MATCH("Years to stability",Assumptions!A:A,0))+1,INDEX(Assumptions!B:B,MATCH("Stable ROE",Assumptions!A:A,0)),L8/L11))</f>
      </c>
      <c r="M12" s="25">
        <f>=IF(11&gt;INDEX(Assumptions!B:B,MATCH("Years to stability",Assumptions!A:A,0))+1,"",IF(11=INDEX(Assumptions!B:B,MATCH("Years to stability",Assumptions!A:A,0))+1,INDEX(Assumptions!B:B,MATCH("Stable ROE",Assumptions!A:A,0)),M8/M11))</f>
      </c>
      <c r="N12" s="25">
        <f>=IF(12&gt;INDEX(Assumptions!B:B,MATCH("Years to stability",Assumptions!A:A,0))+1,"",IF(12=INDEX(Assumptions!B:B,MATCH("Years to stability",Assumptions!A:A,0))+1,INDEX(Assumptions!B:B,MATCH("Stable ROE",Assumptions!A:A,0)),N8/N11))</f>
      </c>
      <c r="O12" s="25">
        <f>=IF(13&gt;INDEX(Assumptions!B:B,MATCH("Years to stability",Assumptions!A:A,0))+1,"",IF(13=INDEX(Assumptions!B:B,MATCH("Years to stability",Assumptions!A:A,0))+1,INDEX(Assumptions!B:B,MATCH("Stable ROE",Assumptions!A:A,0)),O8/O11))</f>
      </c>
      <c r="P12" s="25">
        <f>=IF(14&gt;INDEX(Assumptions!B:B,MATCH("Years to stability",Assumptions!A:A,0))+1,"",IF(14=INDEX(Assumptions!B:B,MATCH("Years to stability",Assumptions!A:A,0))+1,INDEX(Assumptions!B:B,MATCH("Stable ROE",Assumptions!A:A,0)),P8/P11))</f>
      </c>
      <c r="Q12" s="25">
        <f>=IF(15&gt;INDEX(Assumptions!B:B,MATCH("Years to stability",Assumptions!A:A,0))+1,"",IF(15=INDEX(Assumptions!B:B,MATCH("Years to stability",Assumptions!A:A,0))+1,INDEX(Assumptions!B:B,MATCH("Stable ROE",Assumptions!A:A,0)),Q8/Q11))</f>
      </c>
      <c r="R12" s="25">
        <f>=IF(16&gt;INDEX(Assumptions!B:B,MATCH("Years to stability",Assumptions!A:A,0))+1,"",IF(16=INDEX(Assumptions!B:B,MATCH("Years to stability",Assumptions!A:A,0))+1,INDEX(Assumptions!B:B,MATCH("Stable ROE",Assumptions!A:A,0)),R8/R11))</f>
      </c>
      <c r="S12" s="25">
        <f>=IF(17&gt;INDEX(Assumptions!B:B,MATCH("Years to stability",Assumptions!A:A,0))+1,"",IF(17=INDEX(Assumptions!B:B,MATCH("Years to stability",Assumptions!A:A,0))+1,INDEX(Assumptions!B:B,MATCH("Stable ROE",Assumptions!A:A,0)),S8/S11))</f>
      </c>
      <c r="T12" s="25">
        <f>=IF(18&gt;INDEX(Assumptions!B:B,MATCH("Years to stability",Assumptions!A:A,0))+1,"",IF(18=INDEX(Assumptions!B:B,MATCH("Years to stability",Assumptions!A:A,0))+1,INDEX(Assumptions!B:B,MATCH("Stable ROE",Assumptions!A:A,0)),T8/T11))</f>
      </c>
      <c r="U12" s="25">
        <f>=IF(19&gt;INDEX(Assumptions!B:B,MATCH("Years to stability",Assumptions!A:A,0))+1,"",IF(19=INDEX(Assumptions!B:B,MATCH("Years to stability",Assumptions!A:A,0))+1,INDEX(Assumptions!B:B,MATCH("Stable ROE",Assumptions!A:A,0)),U8/U11))</f>
      </c>
      <c r="V12" s="25">
        <f>=IF(20&gt;INDEX(Assumptions!B:B,MATCH("Years to stability",Assumptions!A:A,0))+1,"",IF(20=INDEX(Assumptions!B:B,MATCH("Years to stability",Assumptions!A:A,0))+1,INDEX(Assumptions!B:B,MATCH("Stable ROE",Assumptions!A:A,0)),V8/V11))</f>
      </c>
      <c r="W12" s="25">
        <f>=IF(21&gt;INDEX(Assumptions!B:B,MATCH("Years to stability",Assumptions!A:A,0))+1,"",IF(21=INDEX(Assumptions!B:B,MATCH("Years to stability",Assumptions!A:A,0))+1,INDEX(Assumptions!B:B,MATCH("Stable ROE",Assumptions!A:A,0)),W8/W11))</f>
      </c>
    </row>
    <row r="13" spans="1:23" x14ac:dyDescent="0.25">
      <c r="A13" s="11" t="s">
        <v>72</v>
      </c>
      <c r="B13" s="26">
        <f>=INDEX(Financials!B:B,MATCH("Sales to Equity Ratio",Financials!A:A,0))</f>
      </c>
      <c r="C13" s="26">
        <f>=IF(1&lt;=INDEX(Assumptions!B:B,MATCH("Years to stability",Assumptions!A:A,0))+1,INDEX(Assumptions!B:B,MATCH("Sales-to-equity ratio",Assumptions!A:A,0)),"")</f>
      </c>
      <c r="D13" s="26">
        <f>=IF(2&lt;=INDEX(Assumptions!B:B,MATCH("Years to stability",Assumptions!A:A,0))+1,INDEX(Assumptions!B:B,MATCH("Sales-to-equity ratio",Assumptions!A:A,0)),"")</f>
      </c>
      <c r="E13" s="26">
        <f>=IF(3&lt;=INDEX(Assumptions!B:B,MATCH("Years to stability",Assumptions!A:A,0))+1,INDEX(Assumptions!B:B,MATCH("Sales-to-equity ratio",Assumptions!A:A,0)),"")</f>
      </c>
      <c r="F13" s="26">
        <f>=IF(4&lt;=INDEX(Assumptions!B:B,MATCH("Years to stability",Assumptions!A:A,0))+1,INDEX(Assumptions!B:B,MATCH("Sales-to-equity ratio",Assumptions!A:A,0)),"")</f>
      </c>
      <c r="G13" s="26">
        <f>=IF(5&lt;=INDEX(Assumptions!B:B,MATCH("Years to stability",Assumptions!A:A,0))+1,INDEX(Assumptions!B:B,MATCH("Sales-to-equity ratio",Assumptions!A:A,0)),"")</f>
      </c>
      <c r="H13" s="26">
        <f>=IF(6&lt;=INDEX(Assumptions!B:B,MATCH("Years to stability",Assumptions!A:A,0))+1,INDEX(Assumptions!B:B,MATCH("Sales-to-equity ratio",Assumptions!A:A,0)),"")</f>
      </c>
      <c r="I13" s="26">
        <f>=IF(7&lt;=INDEX(Assumptions!B:B,MATCH("Years to stability",Assumptions!A:A,0))+1,INDEX(Assumptions!B:B,MATCH("Sales-to-equity ratio",Assumptions!A:A,0)),"")</f>
      </c>
      <c r="J13" s="26">
        <f>=IF(8&lt;=INDEX(Assumptions!B:B,MATCH("Years to stability",Assumptions!A:A,0))+1,INDEX(Assumptions!B:B,MATCH("Sales-to-equity ratio",Assumptions!A:A,0)),"")</f>
      </c>
      <c r="K13" s="26">
        <f>=IF(9&lt;=INDEX(Assumptions!B:B,MATCH("Years to stability",Assumptions!A:A,0))+1,INDEX(Assumptions!B:B,MATCH("Sales-to-equity ratio",Assumptions!A:A,0)),"")</f>
      </c>
      <c r="L13" s="26">
        <f>=IF(10&lt;=INDEX(Assumptions!B:B,MATCH("Years to stability",Assumptions!A:A,0))+1,INDEX(Assumptions!B:B,MATCH("Sales-to-equity ratio",Assumptions!A:A,0)),"")</f>
      </c>
      <c r="M13" s="26">
        <f>=IF(11&lt;=INDEX(Assumptions!B:B,MATCH("Years to stability",Assumptions!A:A,0))+1,INDEX(Assumptions!B:B,MATCH("Sales-to-equity ratio",Assumptions!A:A,0)),"")</f>
      </c>
      <c r="N13" s="26">
        <f>=IF(12&lt;=INDEX(Assumptions!B:B,MATCH("Years to stability",Assumptions!A:A,0))+1,INDEX(Assumptions!B:B,MATCH("Sales-to-equity ratio",Assumptions!A:A,0)),"")</f>
      </c>
      <c r="O13" s="26">
        <f>=IF(13&lt;=INDEX(Assumptions!B:B,MATCH("Years to stability",Assumptions!A:A,0))+1,INDEX(Assumptions!B:B,MATCH("Sales-to-equity ratio",Assumptions!A:A,0)),"")</f>
      </c>
      <c r="P13" s="26">
        <f>=IF(14&lt;=INDEX(Assumptions!B:B,MATCH("Years to stability",Assumptions!A:A,0))+1,INDEX(Assumptions!B:B,MATCH("Sales-to-equity ratio",Assumptions!A:A,0)),"")</f>
      </c>
      <c r="Q13" s="26">
        <f>=IF(15&lt;=INDEX(Assumptions!B:B,MATCH("Years to stability",Assumptions!A:A,0))+1,INDEX(Assumptions!B:B,MATCH("Sales-to-equity ratio",Assumptions!A:A,0)),"")</f>
      </c>
      <c r="R13" s="26">
        <f>=IF(16&lt;=INDEX(Assumptions!B:B,MATCH("Years to stability",Assumptions!A:A,0))+1,INDEX(Assumptions!B:B,MATCH("Sales-to-equity ratio",Assumptions!A:A,0)),"")</f>
      </c>
      <c r="S13" s="26">
        <f>=IF(17&lt;=INDEX(Assumptions!B:B,MATCH("Years to stability",Assumptions!A:A,0))+1,INDEX(Assumptions!B:B,MATCH("Sales-to-equity ratio",Assumptions!A:A,0)),"")</f>
      </c>
      <c r="T13" s="26">
        <f>=IF(18&lt;=INDEX(Assumptions!B:B,MATCH("Years to stability",Assumptions!A:A,0))+1,INDEX(Assumptions!B:B,MATCH("Sales-to-equity ratio",Assumptions!A:A,0)),"")</f>
      </c>
      <c r="U13" s="26">
        <f>=IF(19&lt;=INDEX(Assumptions!B:B,MATCH("Years to stability",Assumptions!A:A,0))+1,INDEX(Assumptions!B:B,MATCH("Sales-to-equity ratio",Assumptions!A:A,0)),"")</f>
      </c>
      <c r="V13" s="26">
        <f>=IF(20&lt;=INDEX(Assumptions!B:B,MATCH("Years to stability",Assumptions!A:A,0))+1,INDEX(Assumptions!B:B,MATCH("Sales-to-equity ratio",Assumptions!A:A,0)),"")</f>
      </c>
      <c r="W13" s="26">
        <f>=IF(21&lt;=INDEX(Assumptions!B:B,MATCH("Years to stability",Assumptions!A:A,0))+1,INDEX(Assumptions!B:B,MATCH("Sales-to-equity ratio",Assumptions!A:A,0)),"")</f>
      </c>
    </row>
    <row r="14" spans="1:23" x14ac:dyDescent="0.25">
      <c r="A14" s="11" t="s">
        <v>73</v>
      </c>
      <c r="B14" s="24">
        <f>=B8-B10</f>
      </c>
      <c r="C14" s="24">
        <f>=IF(1&lt;=INDEX(Assumptions!B:B,MATCH("Years to stability",Assumptions!A:A,0))+1,C8-C10,"")</f>
      </c>
      <c r="D14" s="24">
        <f>=IF(2&lt;=INDEX(Assumptions!B:B,MATCH("Years to stability",Assumptions!A:A,0))+1,D8-D10,"")</f>
      </c>
      <c r="E14" s="24">
        <f>=IF(3&lt;=INDEX(Assumptions!B:B,MATCH("Years to stability",Assumptions!A:A,0))+1,E8-E10,"")</f>
      </c>
      <c r="F14" s="24">
        <f>=IF(4&lt;=INDEX(Assumptions!B:B,MATCH("Years to stability",Assumptions!A:A,0))+1,F8-F10,"")</f>
      </c>
      <c r="G14" s="24">
        <f>=IF(5&lt;=INDEX(Assumptions!B:B,MATCH("Years to stability",Assumptions!A:A,0))+1,G8-G10,"")</f>
      </c>
      <c r="H14" s="24">
        <f>=IF(6&lt;=INDEX(Assumptions!B:B,MATCH("Years to stability",Assumptions!A:A,0))+1,H8-H10,"")</f>
      </c>
      <c r="I14" s="24">
        <f>=IF(7&lt;=INDEX(Assumptions!B:B,MATCH("Years to stability",Assumptions!A:A,0))+1,I8-I10,"")</f>
      </c>
      <c r="J14" s="24">
        <f>=IF(8&lt;=INDEX(Assumptions!B:B,MATCH("Years to stability",Assumptions!A:A,0))+1,J8-J10,"")</f>
      </c>
      <c r="K14" s="24">
        <f>=IF(9&lt;=INDEX(Assumptions!B:B,MATCH("Years to stability",Assumptions!A:A,0))+1,K8-K10,"")</f>
      </c>
      <c r="L14" s="24">
        <f>=IF(10&lt;=INDEX(Assumptions!B:B,MATCH("Years to stability",Assumptions!A:A,0))+1,L8-L10,"")</f>
      </c>
      <c r="M14" s="24">
        <f>=IF(11&lt;=INDEX(Assumptions!B:B,MATCH("Years to stability",Assumptions!A:A,0))+1,M8-M10,"")</f>
      </c>
      <c r="N14" s="24">
        <f>=IF(12&lt;=INDEX(Assumptions!B:B,MATCH("Years to stability",Assumptions!A:A,0))+1,N8-N10,"")</f>
      </c>
      <c r="O14" s="24">
        <f>=IF(13&lt;=INDEX(Assumptions!B:B,MATCH("Years to stability",Assumptions!A:A,0))+1,O8-O10,"")</f>
      </c>
      <c r="P14" s="24">
        <f>=IF(14&lt;=INDEX(Assumptions!B:B,MATCH("Years to stability",Assumptions!A:A,0))+1,P8-P10,"")</f>
      </c>
      <c r="Q14" s="24">
        <f>=IF(15&lt;=INDEX(Assumptions!B:B,MATCH("Years to stability",Assumptions!A:A,0))+1,Q8-Q10,"")</f>
      </c>
      <c r="R14" s="24">
        <f>=IF(16&lt;=INDEX(Assumptions!B:B,MATCH("Years to stability",Assumptions!A:A,0))+1,R8-R10,"")</f>
      </c>
      <c r="S14" s="24">
        <f>=IF(17&lt;=INDEX(Assumptions!B:B,MATCH("Years to stability",Assumptions!A:A,0))+1,S8-S10,"")</f>
      </c>
      <c r="T14" s="24">
        <f>=IF(18&lt;=INDEX(Assumptions!B:B,MATCH("Years to stability",Assumptions!A:A,0))+1,T8-T10,"")</f>
      </c>
      <c r="U14" s="24">
        <f>=IF(19&lt;=INDEX(Assumptions!B:B,MATCH("Years to stability",Assumptions!A:A,0))+1,U8-U10,"")</f>
      </c>
      <c r="V14" s="24">
        <f>=IF(20&lt;=INDEX(Assumptions!B:B,MATCH("Years to stability",Assumptions!A:A,0))+1,V8-V10,"")</f>
      </c>
      <c r="W14" s="24">
        <f>=IF(21&lt;=INDEX(Assumptions!B:B,MATCH("Years to stability",Assumptions!A:A,0))+1,W8-W10,"")</f>
      </c>
    </row>
    <row r="15" spans="1:23" x14ac:dyDescent="0.25">
      <c r="A15" s="11" t="s">
        <v>74</v>
      </c>
      <c r="B15" s="12"/>
      <c r="C15" s="24">
        <f>=IF(1=INDEX(Assumptions!B:B,MATCH("Years to stability",Assumptions!A:A,0))+1,C14/(LOOKUP(2,1/('Cost of equity'!A:A="Stable cost of equity"),'Cost of equity'!B:B)-INDEX(Assumptions!B:B,MATCH("Stable growth rate",Assumptions!A:A,0))),"")</f>
      </c>
      <c r="D15" s="24">
        <f>=IF(2=INDEX(Assumptions!B:B,MATCH("Years to stability",Assumptions!A:A,0))+1,D14/(LOOKUP(2,1/('Cost of equity'!A:A="Stable cost of equity"),'Cost of equity'!B:B)-INDEX(Assumptions!B:B,MATCH("Stable growth rate",Assumptions!A:A,0))),"")</f>
      </c>
      <c r="E15" s="24">
        <f>=IF(3=INDEX(Assumptions!B:B,MATCH("Years to stability",Assumptions!A:A,0))+1,E14/(LOOKUP(2,1/('Cost of equity'!A:A="Stable cost of equity"),'Cost of equity'!B:B)-INDEX(Assumptions!B:B,MATCH("Stable growth rate",Assumptions!A:A,0))),"")</f>
      </c>
      <c r="F15" s="24">
        <f>=IF(4=INDEX(Assumptions!B:B,MATCH("Years to stability",Assumptions!A:A,0))+1,F14/(LOOKUP(2,1/('Cost of equity'!A:A="Stable cost of equity"),'Cost of equity'!B:B)-INDEX(Assumptions!B:B,MATCH("Stable growth rate",Assumptions!A:A,0))),"")</f>
      </c>
      <c r="G15" s="24">
        <f>=IF(5=INDEX(Assumptions!B:B,MATCH("Years to stability",Assumptions!A:A,0))+1,G14/(LOOKUP(2,1/('Cost of equity'!A:A="Stable cost of equity"),'Cost of equity'!B:B)-INDEX(Assumptions!B:B,MATCH("Stable growth rate",Assumptions!A:A,0))),"")</f>
      </c>
      <c r="H15" s="24">
        <f>=IF(6=INDEX(Assumptions!B:B,MATCH("Years to stability",Assumptions!A:A,0))+1,H14/(LOOKUP(2,1/('Cost of equity'!A:A="Stable cost of equity"),'Cost of equity'!B:B)-INDEX(Assumptions!B:B,MATCH("Stable growth rate",Assumptions!A:A,0))),"")</f>
      </c>
      <c r="I15" s="24">
        <f>=IF(7=INDEX(Assumptions!B:B,MATCH("Years to stability",Assumptions!A:A,0))+1,I14/(LOOKUP(2,1/('Cost of equity'!A:A="Stable cost of equity"),'Cost of equity'!B:B)-INDEX(Assumptions!B:B,MATCH("Stable growth rate",Assumptions!A:A,0))),"")</f>
      </c>
      <c r="J15" s="24">
        <f>=IF(8=INDEX(Assumptions!B:B,MATCH("Years to stability",Assumptions!A:A,0))+1,J14/(LOOKUP(2,1/('Cost of equity'!A:A="Stable cost of equity"),'Cost of equity'!B:B)-INDEX(Assumptions!B:B,MATCH("Stable growth rate",Assumptions!A:A,0))),"")</f>
      </c>
      <c r="K15" s="24">
        <f>=IF(9=INDEX(Assumptions!B:B,MATCH("Years to stability",Assumptions!A:A,0))+1,K14/(LOOKUP(2,1/('Cost of equity'!A:A="Stable cost of equity"),'Cost of equity'!B:B)-INDEX(Assumptions!B:B,MATCH("Stable growth rate",Assumptions!A:A,0))),"")</f>
      </c>
      <c r="L15" s="24">
        <f>=IF(10=INDEX(Assumptions!B:B,MATCH("Years to stability",Assumptions!A:A,0))+1,L14/(LOOKUP(2,1/('Cost of equity'!A:A="Stable cost of equity"),'Cost of equity'!B:B)-INDEX(Assumptions!B:B,MATCH("Stable growth rate",Assumptions!A:A,0))),"")</f>
      </c>
      <c r="M15" s="24">
        <f>=IF(11=INDEX(Assumptions!B:B,MATCH("Years to stability",Assumptions!A:A,0))+1,M14/(LOOKUP(2,1/('Cost of equity'!A:A="Stable cost of equity"),'Cost of equity'!B:B)-INDEX(Assumptions!B:B,MATCH("Stable growth rate",Assumptions!A:A,0))),"")</f>
      </c>
      <c r="N15" s="24">
        <f>=IF(12=INDEX(Assumptions!B:B,MATCH("Years to stability",Assumptions!A:A,0))+1,N14/(LOOKUP(2,1/('Cost of equity'!A:A="Stable cost of equity"),'Cost of equity'!B:B)-INDEX(Assumptions!B:B,MATCH("Stable growth rate",Assumptions!A:A,0))),"")</f>
      </c>
      <c r="O15" s="24">
        <f>=IF(13=INDEX(Assumptions!B:B,MATCH("Years to stability",Assumptions!A:A,0))+1,O14/(LOOKUP(2,1/('Cost of equity'!A:A="Stable cost of equity"),'Cost of equity'!B:B)-INDEX(Assumptions!B:B,MATCH("Stable growth rate",Assumptions!A:A,0))),"")</f>
      </c>
      <c r="P15" s="24">
        <f>=IF(14=INDEX(Assumptions!B:B,MATCH("Years to stability",Assumptions!A:A,0))+1,P14/(LOOKUP(2,1/('Cost of equity'!A:A="Stable cost of equity"),'Cost of equity'!B:B)-INDEX(Assumptions!B:B,MATCH("Stable growth rate",Assumptions!A:A,0))),"")</f>
      </c>
      <c r="Q15" s="24">
        <f>=IF(15=INDEX(Assumptions!B:B,MATCH("Years to stability",Assumptions!A:A,0))+1,Q14/(LOOKUP(2,1/('Cost of equity'!A:A="Stable cost of equity"),'Cost of equity'!B:B)-INDEX(Assumptions!B:B,MATCH("Stable growth rate",Assumptions!A:A,0))),"")</f>
      </c>
      <c r="R15" s="24">
        <f>=IF(16=INDEX(Assumptions!B:B,MATCH("Years to stability",Assumptions!A:A,0))+1,R14/(LOOKUP(2,1/('Cost of equity'!A:A="Stable cost of equity"),'Cost of equity'!B:B)-INDEX(Assumptions!B:B,MATCH("Stable growth rate",Assumptions!A:A,0))),"")</f>
      </c>
      <c r="S15" s="24">
        <f>=IF(17=INDEX(Assumptions!B:B,MATCH("Years to stability",Assumptions!A:A,0))+1,S14/(LOOKUP(2,1/('Cost of equity'!A:A="Stable cost of equity"),'Cost of equity'!B:B)-INDEX(Assumptions!B:B,MATCH("Stable growth rate",Assumptions!A:A,0))),"")</f>
      </c>
      <c r="T15" s="24">
        <f>=IF(18=INDEX(Assumptions!B:B,MATCH("Years to stability",Assumptions!A:A,0))+1,T14/(LOOKUP(2,1/('Cost of equity'!A:A="Stable cost of equity"),'Cost of equity'!B:B)-INDEX(Assumptions!B:B,MATCH("Stable growth rate",Assumptions!A:A,0))),"")</f>
      </c>
      <c r="U15" s="24">
        <f>=IF(19=INDEX(Assumptions!B:B,MATCH("Years to stability",Assumptions!A:A,0))+1,U14/(LOOKUP(2,1/('Cost of equity'!A:A="Stable cost of equity"),'Cost of equity'!B:B)-INDEX(Assumptions!B:B,MATCH("Stable growth rate",Assumptions!A:A,0))),"")</f>
      </c>
      <c r="V15" s="24">
        <f>=IF(20=INDEX(Assumptions!B:B,MATCH("Years to stability",Assumptions!A:A,0))+1,V14/(LOOKUP(2,1/('Cost of equity'!A:A="Stable cost of equity"),'Cost of equity'!B:B)-INDEX(Assumptions!B:B,MATCH("Stable growth rate",Assumptions!A:A,0))),"")</f>
      </c>
      <c r="W15" s="24">
        <f>=IF(21=INDEX(Assumptions!B:B,MATCH("Years to stability",Assumptions!A:A,0))+1,W14/(LOOKUP(2,1/('Cost of equity'!A:A="Stable cost of equity"),'Cost of equity'!B:B)-INDEX(Assumptions!B:B,MATCH("Stable growth rate",Assumptions!A:A,0))),"")</f>
      </c>
    </row>
    <row r="16" spans="1:23" x14ac:dyDescent="0.25">
      <c r="A16" s="11" t="s">
        <v>75</v>
      </c>
      <c r="B16" s="12"/>
      <c r="C16" s="24">
        <f>=IF(1&gt;INDEX(Assumptions!B:B,MATCH("Years to stability",Assumptions!A:A,0))+1,"",IF(1=INDEX(Assumptions!B:B,MATCH("Years to stability",Assumptions!A:A,0))+1,C15,C14))</f>
      </c>
      <c r="D16" s="24">
        <f>=IF(2&gt;INDEX(Assumptions!B:B,MATCH("Years to stability",Assumptions!A:A,0))+1,"",IF(2=INDEX(Assumptions!B:B,MATCH("Years to stability",Assumptions!A:A,0))+1,D15,D14))</f>
      </c>
      <c r="E16" s="24">
        <f>=IF(3&gt;INDEX(Assumptions!B:B,MATCH("Years to stability",Assumptions!A:A,0))+1,"",IF(3=INDEX(Assumptions!B:B,MATCH("Years to stability",Assumptions!A:A,0))+1,E15,E14))</f>
      </c>
      <c r="F16" s="24">
        <f>=IF(4&gt;INDEX(Assumptions!B:B,MATCH("Years to stability",Assumptions!A:A,0))+1,"",IF(4=INDEX(Assumptions!B:B,MATCH("Years to stability",Assumptions!A:A,0))+1,F15,F14))</f>
      </c>
      <c r="G16" s="24">
        <f>=IF(5&gt;INDEX(Assumptions!B:B,MATCH("Years to stability",Assumptions!A:A,0))+1,"",IF(5=INDEX(Assumptions!B:B,MATCH("Years to stability",Assumptions!A:A,0))+1,G15,G14))</f>
      </c>
      <c r="H16" s="24">
        <f>=IF(6&gt;INDEX(Assumptions!B:B,MATCH("Years to stability",Assumptions!A:A,0))+1,"",IF(6=INDEX(Assumptions!B:B,MATCH("Years to stability",Assumptions!A:A,0))+1,H15,H14))</f>
      </c>
      <c r="I16" s="24">
        <f>=IF(7&gt;INDEX(Assumptions!B:B,MATCH("Years to stability",Assumptions!A:A,0))+1,"",IF(7=INDEX(Assumptions!B:B,MATCH("Years to stability",Assumptions!A:A,0))+1,I15,I14))</f>
      </c>
      <c r="J16" s="24">
        <f>=IF(8&gt;INDEX(Assumptions!B:B,MATCH("Years to stability",Assumptions!A:A,0))+1,"",IF(8=INDEX(Assumptions!B:B,MATCH("Years to stability",Assumptions!A:A,0))+1,J15,J14))</f>
      </c>
      <c r="K16" s="24">
        <f>=IF(9&gt;INDEX(Assumptions!B:B,MATCH("Years to stability",Assumptions!A:A,0))+1,"",IF(9=INDEX(Assumptions!B:B,MATCH("Years to stability",Assumptions!A:A,0))+1,K15,K14))</f>
      </c>
      <c r="L16" s="24">
        <f>=IF(10&gt;INDEX(Assumptions!B:B,MATCH("Years to stability",Assumptions!A:A,0))+1,"",IF(10=INDEX(Assumptions!B:B,MATCH("Years to stability",Assumptions!A:A,0))+1,L15,L14))</f>
      </c>
      <c r="M16" s="24">
        <f>=IF(11&gt;INDEX(Assumptions!B:B,MATCH("Years to stability",Assumptions!A:A,0))+1,"",IF(11=INDEX(Assumptions!B:B,MATCH("Years to stability",Assumptions!A:A,0))+1,M15,M14))</f>
      </c>
      <c r="N16" s="24">
        <f>=IF(12&gt;INDEX(Assumptions!B:B,MATCH("Years to stability",Assumptions!A:A,0))+1,"",IF(12=INDEX(Assumptions!B:B,MATCH("Years to stability",Assumptions!A:A,0))+1,N15,N14))</f>
      </c>
      <c r="O16" s="24">
        <f>=IF(13&gt;INDEX(Assumptions!B:B,MATCH("Years to stability",Assumptions!A:A,0))+1,"",IF(13=INDEX(Assumptions!B:B,MATCH("Years to stability",Assumptions!A:A,0))+1,O15,O14))</f>
      </c>
      <c r="P16" s="24">
        <f>=IF(14&gt;INDEX(Assumptions!B:B,MATCH("Years to stability",Assumptions!A:A,0))+1,"",IF(14=INDEX(Assumptions!B:B,MATCH("Years to stability",Assumptions!A:A,0))+1,P15,P14))</f>
      </c>
      <c r="Q16" s="24">
        <f>=IF(15&gt;INDEX(Assumptions!B:B,MATCH("Years to stability",Assumptions!A:A,0))+1,"",IF(15=INDEX(Assumptions!B:B,MATCH("Years to stability",Assumptions!A:A,0))+1,Q15,Q14))</f>
      </c>
      <c r="R16" s="24">
        <f>=IF(16&gt;INDEX(Assumptions!B:B,MATCH("Years to stability",Assumptions!A:A,0))+1,"",IF(16=INDEX(Assumptions!B:B,MATCH("Years to stability",Assumptions!A:A,0))+1,R15,R14))</f>
      </c>
      <c r="S16" s="24">
        <f>=IF(17&gt;INDEX(Assumptions!B:B,MATCH("Years to stability",Assumptions!A:A,0))+1,"",IF(17=INDEX(Assumptions!B:B,MATCH("Years to stability",Assumptions!A:A,0))+1,S15,S14))</f>
      </c>
      <c r="T16" s="24">
        <f>=IF(18&gt;INDEX(Assumptions!B:B,MATCH("Years to stability",Assumptions!A:A,0))+1,"",IF(18=INDEX(Assumptions!B:B,MATCH("Years to stability",Assumptions!A:A,0))+1,T15,T14))</f>
      </c>
      <c r="U16" s="24">
        <f>=IF(19&gt;INDEX(Assumptions!B:B,MATCH("Years to stability",Assumptions!A:A,0))+1,"",IF(19=INDEX(Assumptions!B:B,MATCH("Years to stability",Assumptions!A:A,0))+1,U15,U14))</f>
      </c>
      <c r="V16" s="24">
        <f>=IF(20&gt;INDEX(Assumptions!B:B,MATCH("Years to stability",Assumptions!A:A,0))+1,"",IF(20=INDEX(Assumptions!B:B,MATCH("Years to stability",Assumptions!A:A,0))+1,V15,V14))</f>
      </c>
      <c r="W16" s="24">
        <f>=IF(21&gt;INDEX(Assumptions!B:B,MATCH("Years to stability",Assumptions!A:A,0))+1,"",IF(21=INDEX(Assumptions!B:B,MATCH("Years to stability",Assumptions!A:A,0))+1,W15,W14))</f>
      </c>
    </row>
    <row r="17" spans="1:23" x14ac:dyDescent="0.25">
      <c r="A17" s="11" t="s">
        <v>76</v>
      </c>
      <c r="B17" s="12"/>
      <c r="C17" s="27">
        <f>=IF(1&lt;=INDEX(Assumptions!B:B,MATCH("Years to stability",Assumptions!A:A,0))+1,(1+C18)^-MAX(0,(INDEX(Summary!B:B,MATCH("Latest financials date",Summary!A:A,0))+365-INDEX(Summary!B:B,MATCH("Valuation date",Summary!A:A,0)))/365),"")</f>
      </c>
      <c r="D17" s="27">
        <f>=IF(2&lt;=INDEX(Assumptions!B:B,MATCH("Years to stability",Assumptions!A:A,0))+1,IF(2=INDEX(Assumptions!B:B,MATCH("Years to stability",Assumptions!A:A,0))+1,C17,C17/(1+D18)),"")</f>
      </c>
      <c r="E17" s="27">
        <f>=IF(3&lt;=INDEX(Assumptions!B:B,MATCH("Years to stability",Assumptions!A:A,0))+1,IF(3=INDEX(Assumptions!B:B,MATCH("Years to stability",Assumptions!A:A,0))+1,D17,D17/(1+E18)),"")</f>
      </c>
      <c r="F17" s="27">
        <f>=IF(4&lt;=INDEX(Assumptions!B:B,MATCH("Years to stability",Assumptions!A:A,0))+1,IF(4=INDEX(Assumptions!B:B,MATCH("Years to stability",Assumptions!A:A,0))+1,E17,E17/(1+F18)),"")</f>
      </c>
      <c r="G17" s="27">
        <f>=IF(5&lt;=INDEX(Assumptions!B:B,MATCH("Years to stability",Assumptions!A:A,0))+1,IF(5=INDEX(Assumptions!B:B,MATCH("Years to stability",Assumptions!A:A,0))+1,F17,F17/(1+G18)),"")</f>
      </c>
      <c r="H17" s="27">
        <f>=IF(6&lt;=INDEX(Assumptions!B:B,MATCH("Years to stability",Assumptions!A:A,0))+1,IF(6=INDEX(Assumptions!B:B,MATCH("Years to stability",Assumptions!A:A,0))+1,G17,G17/(1+H18)),"")</f>
      </c>
      <c r="I17" s="27">
        <f>=IF(7&lt;=INDEX(Assumptions!B:B,MATCH("Years to stability",Assumptions!A:A,0))+1,IF(7=INDEX(Assumptions!B:B,MATCH("Years to stability",Assumptions!A:A,0))+1,H17,H17/(1+I18)),"")</f>
      </c>
      <c r="J17" s="27">
        <f>=IF(8&lt;=INDEX(Assumptions!B:B,MATCH("Years to stability",Assumptions!A:A,0))+1,IF(8=INDEX(Assumptions!B:B,MATCH("Years to stability",Assumptions!A:A,0))+1,I17,I17/(1+J18)),"")</f>
      </c>
      <c r="K17" s="27">
        <f>=IF(9&lt;=INDEX(Assumptions!B:B,MATCH("Years to stability",Assumptions!A:A,0))+1,IF(9=INDEX(Assumptions!B:B,MATCH("Years to stability",Assumptions!A:A,0))+1,J17,J17/(1+K18)),"")</f>
      </c>
      <c r="L17" s="27">
        <f>=IF(10&lt;=INDEX(Assumptions!B:B,MATCH("Years to stability",Assumptions!A:A,0))+1,IF(10=INDEX(Assumptions!B:B,MATCH("Years to stability",Assumptions!A:A,0))+1,K17,K17/(1+L18)),"")</f>
      </c>
      <c r="M17" s="27">
        <f>=IF(11&lt;=INDEX(Assumptions!B:B,MATCH("Years to stability",Assumptions!A:A,0))+1,IF(11=INDEX(Assumptions!B:B,MATCH("Years to stability",Assumptions!A:A,0))+1,L17,L17/(1+M18)),"")</f>
      </c>
      <c r="N17" s="27">
        <f>=IF(12&lt;=INDEX(Assumptions!B:B,MATCH("Years to stability",Assumptions!A:A,0))+1,IF(12=INDEX(Assumptions!B:B,MATCH("Years to stability",Assumptions!A:A,0))+1,M17,M17/(1+N18)),"")</f>
      </c>
      <c r="O17" s="27">
        <f>=IF(13&lt;=INDEX(Assumptions!B:B,MATCH("Years to stability",Assumptions!A:A,0))+1,IF(13=INDEX(Assumptions!B:B,MATCH("Years to stability",Assumptions!A:A,0))+1,N17,N17/(1+O18)),"")</f>
      </c>
      <c r="P17" s="27">
        <f>=IF(14&lt;=INDEX(Assumptions!B:B,MATCH("Years to stability",Assumptions!A:A,0))+1,IF(14=INDEX(Assumptions!B:B,MATCH("Years to stability",Assumptions!A:A,0))+1,O17,O17/(1+P18)),"")</f>
      </c>
      <c r="Q17" s="27">
        <f>=IF(15&lt;=INDEX(Assumptions!B:B,MATCH("Years to stability",Assumptions!A:A,0))+1,IF(15=INDEX(Assumptions!B:B,MATCH("Years to stability",Assumptions!A:A,0))+1,P17,P17/(1+Q18)),"")</f>
      </c>
      <c r="R17" s="27">
        <f>=IF(16&lt;=INDEX(Assumptions!B:B,MATCH("Years to stability",Assumptions!A:A,0))+1,IF(16=INDEX(Assumptions!B:B,MATCH("Years to stability",Assumptions!A:A,0))+1,Q17,Q17/(1+R18)),"")</f>
      </c>
      <c r="S17" s="27">
        <f>=IF(17&lt;=INDEX(Assumptions!B:B,MATCH("Years to stability",Assumptions!A:A,0))+1,IF(17=INDEX(Assumptions!B:B,MATCH("Years to stability",Assumptions!A:A,0))+1,R17,R17/(1+S18)),"")</f>
      </c>
      <c r="T17" s="27">
        <f>=IF(18&lt;=INDEX(Assumptions!B:B,MATCH("Years to stability",Assumptions!A:A,0))+1,IF(18=INDEX(Assumptions!B:B,MATCH("Years to stability",Assumptions!A:A,0))+1,S17,S17/(1+T18)),"")</f>
      </c>
      <c r="U17" s="27">
        <f>=IF(19&lt;=INDEX(Assumptions!B:B,MATCH("Years to stability",Assumptions!A:A,0))+1,IF(19=INDEX(Assumptions!B:B,MATCH("Years to stability",Assumptions!A:A,0))+1,T17,T17/(1+U18)),"")</f>
      </c>
      <c r="V17" s="27">
        <f>=IF(20&lt;=INDEX(Assumptions!B:B,MATCH("Years to stability",Assumptions!A:A,0))+1,IF(20=INDEX(Assumptions!B:B,MATCH("Years to stability",Assumptions!A:A,0))+1,U17,U17/(1+V18)),"")</f>
      </c>
      <c r="W17" s="27">
        <f>=IF(21&lt;=INDEX(Assumptions!B:B,MATCH("Years to stability",Assumptions!A:A,0))+1,IF(21=INDEX(Assumptions!B:B,MATCH("Years to stability",Assumptions!A:A,0))+1,V17,V17/(1+W18)),"")</f>
      </c>
    </row>
    <row r="18" spans="1:23" x14ac:dyDescent="0.25">
      <c r="A18" s="11" t="s">
        <v>77</v>
      </c>
      <c r="B18" s="12"/>
      <c r="C18" s="25">
        <f>=IF(1&lt;=INDEX(Assumptions!B:B,MATCH("Years to stability",Assumptions!A:A,0))+1,LOOKUP(2,1/('Cost of equity'!A:A="Cost of equity"),'Cost of equity'!B:B)+((MIN(1-1,INDEX(Assumptions!B:B,MATCH("Years to stability",Assumptions!A:A,0))-1))/(INDEX(Assumptions!B:B,MATCH("Years to stability",Assumptions!A:A,0))-1))*(LOOKUP(2,1/('Cost of equity'!A:A="Stable cost of equity"),'Cost of equity'!B:B)-LOOKUP(2,1/('Cost of equity'!A:A="Cost of equity"),'Cost of equity'!B:B)),"")</f>
      </c>
      <c r="D18" s="25">
        <f>=IF(2&lt;=INDEX(Assumptions!B:B,MATCH("Years to stability",Assumptions!A:A,0))+1,LOOKUP(2,1/('Cost of equity'!A:A="Cost of equity"),'Cost of equity'!B:B)+((MIN(2-1,INDEX(Assumptions!B:B,MATCH("Years to stability",Assumptions!A:A,0))-1))/(INDEX(Assumptions!B:B,MATCH("Years to stability",Assumptions!A:A,0))-1))*(LOOKUP(2,1/('Cost of equity'!A:A="Stable cost of equity"),'Cost of equity'!B:B)-LOOKUP(2,1/('Cost of equity'!A:A="Cost of equity"),'Cost of equity'!B:B)),"")</f>
      </c>
      <c r="E18" s="25">
        <f>=IF(3&lt;=INDEX(Assumptions!B:B,MATCH("Years to stability",Assumptions!A:A,0))+1,LOOKUP(2,1/('Cost of equity'!A:A="Cost of equity"),'Cost of equity'!B:B)+((MIN(3-1,INDEX(Assumptions!B:B,MATCH("Years to stability",Assumptions!A:A,0))-1))/(INDEX(Assumptions!B:B,MATCH("Years to stability",Assumptions!A:A,0))-1))*(LOOKUP(2,1/('Cost of equity'!A:A="Stable cost of equity"),'Cost of equity'!B:B)-LOOKUP(2,1/('Cost of equity'!A:A="Cost of equity"),'Cost of equity'!B:B)),"")</f>
      </c>
      <c r="F18" s="25">
        <f>=IF(4&lt;=INDEX(Assumptions!B:B,MATCH("Years to stability",Assumptions!A:A,0))+1,LOOKUP(2,1/('Cost of equity'!A:A="Cost of equity"),'Cost of equity'!B:B)+((MIN(4-1,INDEX(Assumptions!B:B,MATCH("Years to stability",Assumptions!A:A,0))-1))/(INDEX(Assumptions!B:B,MATCH("Years to stability",Assumptions!A:A,0))-1))*(LOOKUP(2,1/('Cost of equity'!A:A="Stable cost of equity"),'Cost of equity'!B:B)-LOOKUP(2,1/('Cost of equity'!A:A="Cost of equity"),'Cost of equity'!B:B)),"")</f>
      </c>
      <c r="G18" s="25">
        <f>=IF(5&lt;=INDEX(Assumptions!B:B,MATCH("Years to stability",Assumptions!A:A,0))+1,LOOKUP(2,1/('Cost of equity'!A:A="Cost of equity"),'Cost of equity'!B:B)+((MIN(5-1,INDEX(Assumptions!B:B,MATCH("Years to stability",Assumptions!A:A,0))-1))/(INDEX(Assumptions!B:B,MATCH("Years to stability",Assumptions!A:A,0))-1))*(LOOKUP(2,1/('Cost of equity'!A:A="Stable cost of equity"),'Cost of equity'!B:B)-LOOKUP(2,1/('Cost of equity'!A:A="Cost of equity"),'Cost of equity'!B:B)),"")</f>
      </c>
      <c r="H18" s="25">
        <f>=IF(6&lt;=INDEX(Assumptions!B:B,MATCH("Years to stability",Assumptions!A:A,0))+1,LOOKUP(2,1/('Cost of equity'!A:A="Cost of equity"),'Cost of equity'!B:B)+((MIN(6-1,INDEX(Assumptions!B:B,MATCH("Years to stability",Assumptions!A:A,0))-1))/(INDEX(Assumptions!B:B,MATCH("Years to stability",Assumptions!A:A,0))-1))*(LOOKUP(2,1/('Cost of equity'!A:A="Stable cost of equity"),'Cost of equity'!B:B)-LOOKUP(2,1/('Cost of equity'!A:A="Cost of equity"),'Cost of equity'!B:B)),"")</f>
      </c>
      <c r="I18" s="25">
        <f>=IF(7&lt;=INDEX(Assumptions!B:B,MATCH("Years to stability",Assumptions!A:A,0))+1,LOOKUP(2,1/('Cost of equity'!A:A="Cost of equity"),'Cost of equity'!B:B)+((MIN(7-1,INDEX(Assumptions!B:B,MATCH("Years to stability",Assumptions!A:A,0))-1))/(INDEX(Assumptions!B:B,MATCH("Years to stability",Assumptions!A:A,0))-1))*(LOOKUP(2,1/('Cost of equity'!A:A="Stable cost of equity"),'Cost of equity'!B:B)-LOOKUP(2,1/('Cost of equity'!A:A="Cost of equity"),'Cost of equity'!B:B)),"")</f>
      </c>
      <c r="J18" s="25">
        <f>=IF(8&lt;=INDEX(Assumptions!B:B,MATCH("Years to stability",Assumptions!A:A,0))+1,LOOKUP(2,1/('Cost of equity'!A:A="Cost of equity"),'Cost of equity'!B:B)+((MIN(8-1,INDEX(Assumptions!B:B,MATCH("Years to stability",Assumptions!A:A,0))-1))/(INDEX(Assumptions!B:B,MATCH("Years to stability",Assumptions!A:A,0))-1))*(LOOKUP(2,1/('Cost of equity'!A:A="Stable cost of equity"),'Cost of equity'!B:B)-LOOKUP(2,1/('Cost of equity'!A:A="Cost of equity"),'Cost of equity'!B:B)),"")</f>
      </c>
      <c r="K18" s="25">
        <f>=IF(9&lt;=INDEX(Assumptions!B:B,MATCH("Years to stability",Assumptions!A:A,0))+1,LOOKUP(2,1/('Cost of equity'!A:A="Cost of equity"),'Cost of equity'!B:B)+((MIN(9-1,INDEX(Assumptions!B:B,MATCH("Years to stability",Assumptions!A:A,0))-1))/(INDEX(Assumptions!B:B,MATCH("Years to stability",Assumptions!A:A,0))-1))*(LOOKUP(2,1/('Cost of equity'!A:A="Stable cost of equity"),'Cost of equity'!B:B)-LOOKUP(2,1/('Cost of equity'!A:A="Cost of equity"),'Cost of equity'!B:B)),"")</f>
      </c>
      <c r="L18" s="25">
        <f>=IF(10&lt;=INDEX(Assumptions!B:B,MATCH("Years to stability",Assumptions!A:A,0))+1,LOOKUP(2,1/('Cost of equity'!A:A="Cost of equity"),'Cost of equity'!B:B)+((MIN(10-1,INDEX(Assumptions!B:B,MATCH("Years to stability",Assumptions!A:A,0))-1))/(INDEX(Assumptions!B:B,MATCH("Years to stability",Assumptions!A:A,0))-1))*(LOOKUP(2,1/('Cost of equity'!A:A="Stable cost of equity"),'Cost of equity'!B:B)-LOOKUP(2,1/('Cost of equity'!A:A="Cost of equity"),'Cost of equity'!B:B)),"")</f>
      </c>
      <c r="M18" s="25">
        <f>=IF(11&lt;=INDEX(Assumptions!B:B,MATCH("Years to stability",Assumptions!A:A,0))+1,LOOKUP(2,1/('Cost of equity'!A:A="Cost of equity"),'Cost of equity'!B:B)+((MIN(11-1,INDEX(Assumptions!B:B,MATCH("Years to stability",Assumptions!A:A,0))-1))/(INDEX(Assumptions!B:B,MATCH("Years to stability",Assumptions!A:A,0))-1))*(LOOKUP(2,1/('Cost of equity'!A:A="Stable cost of equity"),'Cost of equity'!B:B)-LOOKUP(2,1/('Cost of equity'!A:A="Cost of equity"),'Cost of equity'!B:B)),"")</f>
      </c>
      <c r="N18" s="25">
        <f>=IF(12&lt;=INDEX(Assumptions!B:B,MATCH("Years to stability",Assumptions!A:A,0))+1,LOOKUP(2,1/('Cost of equity'!A:A="Cost of equity"),'Cost of equity'!B:B)+((MIN(12-1,INDEX(Assumptions!B:B,MATCH("Years to stability",Assumptions!A:A,0))-1))/(INDEX(Assumptions!B:B,MATCH("Years to stability",Assumptions!A:A,0))-1))*(LOOKUP(2,1/('Cost of equity'!A:A="Stable cost of equity"),'Cost of equity'!B:B)-LOOKUP(2,1/('Cost of equity'!A:A="Cost of equity"),'Cost of equity'!B:B)),"")</f>
      </c>
      <c r="O18" s="25">
        <f>=IF(13&lt;=INDEX(Assumptions!B:B,MATCH("Years to stability",Assumptions!A:A,0))+1,LOOKUP(2,1/('Cost of equity'!A:A="Cost of equity"),'Cost of equity'!B:B)+((MIN(13-1,INDEX(Assumptions!B:B,MATCH("Years to stability",Assumptions!A:A,0))-1))/(INDEX(Assumptions!B:B,MATCH("Years to stability",Assumptions!A:A,0))-1))*(LOOKUP(2,1/('Cost of equity'!A:A="Stable cost of equity"),'Cost of equity'!B:B)-LOOKUP(2,1/('Cost of equity'!A:A="Cost of equity"),'Cost of equity'!B:B)),"")</f>
      </c>
      <c r="P18" s="25">
        <f>=IF(14&lt;=INDEX(Assumptions!B:B,MATCH("Years to stability",Assumptions!A:A,0))+1,LOOKUP(2,1/('Cost of equity'!A:A="Cost of equity"),'Cost of equity'!B:B)+((MIN(14-1,INDEX(Assumptions!B:B,MATCH("Years to stability",Assumptions!A:A,0))-1))/(INDEX(Assumptions!B:B,MATCH("Years to stability",Assumptions!A:A,0))-1))*(LOOKUP(2,1/('Cost of equity'!A:A="Stable cost of equity"),'Cost of equity'!B:B)-LOOKUP(2,1/('Cost of equity'!A:A="Cost of equity"),'Cost of equity'!B:B)),"")</f>
      </c>
      <c r="Q18" s="25">
        <f>=IF(15&lt;=INDEX(Assumptions!B:B,MATCH("Years to stability",Assumptions!A:A,0))+1,LOOKUP(2,1/('Cost of equity'!A:A="Cost of equity"),'Cost of equity'!B:B)+((MIN(15-1,INDEX(Assumptions!B:B,MATCH("Years to stability",Assumptions!A:A,0))-1))/(INDEX(Assumptions!B:B,MATCH("Years to stability",Assumptions!A:A,0))-1))*(LOOKUP(2,1/('Cost of equity'!A:A="Stable cost of equity"),'Cost of equity'!B:B)-LOOKUP(2,1/('Cost of equity'!A:A="Cost of equity"),'Cost of equity'!B:B)),"")</f>
      </c>
      <c r="R18" s="25">
        <f>=IF(16&lt;=INDEX(Assumptions!B:B,MATCH("Years to stability",Assumptions!A:A,0))+1,LOOKUP(2,1/('Cost of equity'!A:A="Cost of equity"),'Cost of equity'!B:B)+((MIN(16-1,INDEX(Assumptions!B:B,MATCH("Years to stability",Assumptions!A:A,0))-1))/(INDEX(Assumptions!B:B,MATCH("Years to stability",Assumptions!A:A,0))-1))*(LOOKUP(2,1/('Cost of equity'!A:A="Stable cost of equity"),'Cost of equity'!B:B)-LOOKUP(2,1/('Cost of equity'!A:A="Cost of equity"),'Cost of equity'!B:B)),"")</f>
      </c>
      <c r="S18" s="25">
        <f>=IF(17&lt;=INDEX(Assumptions!B:B,MATCH("Years to stability",Assumptions!A:A,0))+1,LOOKUP(2,1/('Cost of equity'!A:A="Cost of equity"),'Cost of equity'!B:B)+((MIN(17-1,INDEX(Assumptions!B:B,MATCH("Years to stability",Assumptions!A:A,0))-1))/(INDEX(Assumptions!B:B,MATCH("Years to stability",Assumptions!A:A,0))-1))*(LOOKUP(2,1/('Cost of equity'!A:A="Stable cost of equity"),'Cost of equity'!B:B)-LOOKUP(2,1/('Cost of equity'!A:A="Cost of equity"),'Cost of equity'!B:B)),"")</f>
      </c>
      <c r="T18" s="25">
        <f>=IF(18&lt;=INDEX(Assumptions!B:B,MATCH("Years to stability",Assumptions!A:A,0))+1,LOOKUP(2,1/('Cost of equity'!A:A="Cost of equity"),'Cost of equity'!B:B)+((MIN(18-1,INDEX(Assumptions!B:B,MATCH("Years to stability",Assumptions!A:A,0))-1))/(INDEX(Assumptions!B:B,MATCH("Years to stability",Assumptions!A:A,0))-1))*(LOOKUP(2,1/('Cost of equity'!A:A="Stable cost of equity"),'Cost of equity'!B:B)-LOOKUP(2,1/('Cost of equity'!A:A="Cost of equity"),'Cost of equity'!B:B)),"")</f>
      </c>
      <c r="U18" s="25">
        <f>=IF(19&lt;=INDEX(Assumptions!B:B,MATCH("Years to stability",Assumptions!A:A,0))+1,LOOKUP(2,1/('Cost of equity'!A:A="Cost of equity"),'Cost of equity'!B:B)+((MIN(19-1,INDEX(Assumptions!B:B,MATCH("Years to stability",Assumptions!A:A,0))-1))/(INDEX(Assumptions!B:B,MATCH("Years to stability",Assumptions!A:A,0))-1))*(LOOKUP(2,1/('Cost of equity'!A:A="Stable cost of equity"),'Cost of equity'!B:B)-LOOKUP(2,1/('Cost of equity'!A:A="Cost of equity"),'Cost of equity'!B:B)),"")</f>
      </c>
      <c r="V18" s="25">
        <f>=IF(20&lt;=INDEX(Assumptions!B:B,MATCH("Years to stability",Assumptions!A:A,0))+1,LOOKUP(2,1/('Cost of equity'!A:A="Cost of equity"),'Cost of equity'!B:B)+((MIN(20-1,INDEX(Assumptions!B:B,MATCH("Years to stability",Assumptions!A:A,0))-1))/(INDEX(Assumptions!B:B,MATCH("Years to stability",Assumptions!A:A,0))-1))*(LOOKUP(2,1/('Cost of equity'!A:A="Stable cost of equity"),'Cost of equity'!B:B)-LOOKUP(2,1/('Cost of equity'!A:A="Cost of equity"),'Cost of equity'!B:B)),"")</f>
      </c>
      <c r="W18" s="25">
        <f>=IF(21&lt;=INDEX(Assumptions!B:B,MATCH("Years to stability",Assumptions!A:A,0))+1,LOOKUP(2,1/('Cost of equity'!A:A="Cost of equity"),'Cost of equity'!B:B)+((MIN(21-1,INDEX(Assumptions!B:B,MATCH("Years to stability",Assumptions!A:A,0))-1))/(INDEX(Assumptions!B:B,MATCH("Years to stability",Assumptions!A:A,0))-1))*(LOOKUP(2,1/('Cost of equity'!A:A="Stable cost of equity"),'Cost of equity'!B:B)-LOOKUP(2,1/('Cost of equity'!A:A="Cost of equity"),'Cost of equity'!B:B)),"")</f>
      </c>
    </row>
    <row r="19" spans="1:23" x14ac:dyDescent="0.25">
      <c r="A19" s="11" t="s">
        <v>78</v>
      </c>
      <c r="B19" s="12"/>
      <c r="C19" s="24">
        <f>=IF(1&lt;=INDEX(Assumptions!B:B,MATCH("Years to stability",Assumptions!A:A,0))+1,C16*C17,"")</f>
      </c>
      <c r="D19" s="24">
        <f>=IF(2&lt;=INDEX(Assumptions!B:B,MATCH("Years to stability",Assumptions!A:A,0))+1,D16*D17,"")</f>
      </c>
      <c r="E19" s="24">
        <f>=IF(3&lt;=INDEX(Assumptions!B:B,MATCH("Years to stability",Assumptions!A:A,0))+1,E16*E17,"")</f>
      </c>
      <c r="F19" s="24">
        <f>=IF(4&lt;=INDEX(Assumptions!B:B,MATCH("Years to stability",Assumptions!A:A,0))+1,F16*F17,"")</f>
      </c>
      <c r="G19" s="24">
        <f>=IF(5&lt;=INDEX(Assumptions!B:B,MATCH("Years to stability",Assumptions!A:A,0))+1,G16*G17,"")</f>
      </c>
      <c r="H19" s="24">
        <f>=IF(6&lt;=INDEX(Assumptions!B:B,MATCH("Years to stability",Assumptions!A:A,0))+1,H16*H17,"")</f>
      </c>
      <c r="I19" s="24">
        <f>=IF(7&lt;=INDEX(Assumptions!B:B,MATCH("Years to stability",Assumptions!A:A,0))+1,I16*I17,"")</f>
      </c>
      <c r="J19" s="24">
        <f>=IF(8&lt;=INDEX(Assumptions!B:B,MATCH("Years to stability",Assumptions!A:A,0))+1,J16*J17,"")</f>
      </c>
      <c r="K19" s="24">
        <f>=IF(9&lt;=INDEX(Assumptions!B:B,MATCH("Years to stability",Assumptions!A:A,0))+1,K16*K17,"")</f>
      </c>
      <c r="L19" s="24">
        <f>=IF(10&lt;=INDEX(Assumptions!B:B,MATCH("Years to stability",Assumptions!A:A,0))+1,L16*L17,"")</f>
      </c>
      <c r="M19" s="24">
        <f>=IF(11&lt;=INDEX(Assumptions!B:B,MATCH("Years to stability",Assumptions!A:A,0))+1,M16*M17,"")</f>
      </c>
      <c r="N19" s="24">
        <f>=IF(12&lt;=INDEX(Assumptions!B:B,MATCH("Years to stability",Assumptions!A:A,0))+1,N16*N17,"")</f>
      </c>
      <c r="O19" s="24">
        <f>=IF(13&lt;=INDEX(Assumptions!B:B,MATCH("Years to stability",Assumptions!A:A,0))+1,O16*O17,"")</f>
      </c>
      <c r="P19" s="24">
        <f>=IF(14&lt;=INDEX(Assumptions!B:B,MATCH("Years to stability",Assumptions!A:A,0))+1,P16*P17,"")</f>
      </c>
      <c r="Q19" s="24">
        <f>=IF(15&lt;=INDEX(Assumptions!B:B,MATCH("Years to stability",Assumptions!A:A,0))+1,Q16*Q17,"")</f>
      </c>
      <c r="R19" s="24">
        <f>=IF(16&lt;=INDEX(Assumptions!B:B,MATCH("Years to stability",Assumptions!A:A,0))+1,R16*R17,"")</f>
      </c>
      <c r="S19" s="24">
        <f>=IF(17&lt;=INDEX(Assumptions!B:B,MATCH("Years to stability",Assumptions!A:A,0))+1,S16*S17,"")</f>
      </c>
      <c r="T19" s="24">
        <f>=IF(18&lt;=INDEX(Assumptions!B:B,MATCH("Years to stability",Assumptions!A:A,0))+1,T16*T17,"")</f>
      </c>
      <c r="U19" s="24">
        <f>=IF(19&lt;=INDEX(Assumptions!B:B,MATCH("Years to stability",Assumptions!A:A,0))+1,U16*U17,"")</f>
      </c>
      <c r="V19" s="24">
        <f>=IF(20&lt;=INDEX(Assumptions!B:B,MATCH("Years to stability",Assumptions!A:A,0))+1,V16*V17,"")</f>
      </c>
      <c r="W19" s="24">
        <f>=IF(21&lt;=INDEX(Assumptions!B:B,MATCH("Years to stability",Assumptions!A:A,0))+1,W16*W17,"")</f>
      </c>
    </row>
    <row r="21" spans="1:23" x14ac:dyDescent="0.25">
      <c r="A21" s="11" t="s">
        <v>79</v>
      </c>
      <c r="B21" s="24">
        <f>=SUM(C19:W19)</f>
      </c>
      <c r="C21" s="12"/>
      <c r="D21" s="12"/>
      <c r="E21" s="12"/>
      <c r="F21" s="12"/>
      <c r="G21" s="12"/>
      <c r="H21" s="12"/>
      <c r="I21" s="12"/>
      <c r="J21" s="12"/>
      <c r="K21" s="12"/>
      <c r="L21" s="12"/>
      <c r="M21" s="12"/>
      <c r="N21" s="12"/>
      <c r="O21" s="12"/>
      <c r="P21" s="12"/>
      <c r="Q21" s="12"/>
      <c r="R21" s="12"/>
      <c r="S21" s="12"/>
      <c r="T21" s="12"/>
      <c r="U21" s="12"/>
      <c r="V21" s="12"/>
      <c r="W21" s="12"/>
    </row>
    <row r="22" spans="1:23" x14ac:dyDescent="0.25">
      <c r="A22" s="11" t="s">
        <v>80</v>
      </c>
      <c r="B22" s="24">
        <f>=B21-B25</f>
      </c>
      <c r="C22" s="12"/>
      <c r="D22" s="12"/>
      <c r="E22" s="12"/>
      <c r="F22" s="12"/>
      <c r="G22" s="12"/>
      <c r="H22" s="12"/>
      <c r="I22" s="12"/>
      <c r="J22" s="12"/>
      <c r="K22" s="12"/>
      <c r="L22" s="12"/>
      <c r="M22" s="12"/>
      <c r="N22" s="12"/>
      <c r="O22" s="12"/>
      <c r="P22" s="12"/>
      <c r="Q22" s="12"/>
      <c r="R22" s="12"/>
      <c r="S22" s="12"/>
      <c r="T22" s="12"/>
      <c r="U22" s="12"/>
      <c r="V22" s="12"/>
      <c r="W22" s="12"/>
    </row>
    <row r="23" spans="1:23" x14ac:dyDescent="0.25">
      <c r="A23" s="11" t="s">
        <v>81</v>
      </c>
      <c r="B23" s="14">
        <v>0.053</v>
      </c>
      <c r="C23" s="12"/>
      <c r="D23" s="12"/>
      <c r="E23" s="12"/>
      <c r="F23" s="12"/>
      <c r="G23" s="12"/>
      <c r="H23" s="12"/>
      <c r="I23" s="12"/>
      <c r="J23" s="12"/>
      <c r="K23" s="12"/>
      <c r="L23" s="12"/>
      <c r="M23" s="12"/>
      <c r="N23" s="12"/>
      <c r="O23" s="12"/>
      <c r="P23" s="12"/>
      <c r="Q23" s="12"/>
      <c r="R23" s="12"/>
      <c r="S23" s="12"/>
      <c r="T23" s="12"/>
      <c r="U23" s="12"/>
      <c r="V23" s="12"/>
      <c r="W23" s="12"/>
    </row>
    <row r="24" spans="1:23" x14ac:dyDescent="0.25">
      <c r="A24" s="11" t="s">
        <v>82</v>
      </c>
      <c r="B24" s="25">
        <f>=INDEX(Assumptions!B:B,MATCH("Recovery ratio",Assumptions!A:A,0))</f>
      </c>
      <c r="C24" s="12"/>
      <c r="D24" s="12"/>
      <c r="E24" s="12"/>
      <c r="F24" s="12"/>
      <c r="G24" s="12"/>
      <c r="H24" s="12"/>
      <c r="I24" s="12"/>
      <c r="J24" s="12"/>
      <c r="K24" s="12"/>
      <c r="L24" s="12"/>
      <c r="M24" s="12"/>
      <c r="N24" s="12"/>
      <c r="O24" s="12"/>
      <c r="P24" s="12"/>
      <c r="Q24" s="12"/>
      <c r="R24" s="12"/>
      <c r="S24" s="12"/>
      <c r="T24" s="12"/>
      <c r="U24" s="12"/>
      <c r="V24" s="12"/>
      <c r="W24" s="12"/>
    </row>
    <row r="25" spans="1:23" x14ac:dyDescent="0.25">
      <c r="A25" s="11" t="s">
        <v>83</v>
      </c>
      <c r="B25" s="24">
        <f>=(1-B23)*B21+B23*(B24*B11)</f>
      </c>
      <c r="C25" s="12"/>
      <c r="D25" s="12"/>
      <c r="E25" s="12"/>
      <c r="F25" s="12"/>
      <c r="G25" s="12"/>
      <c r="H25" s="12"/>
      <c r="I25" s="12"/>
      <c r="J25" s="12"/>
      <c r="K25" s="12"/>
      <c r="L25" s="12"/>
      <c r="M25" s="12"/>
      <c r="N25" s="12"/>
      <c r="O25" s="12"/>
      <c r="P25" s="12"/>
      <c r="Q25" s="12"/>
      <c r="R25" s="12"/>
      <c r="S25" s="12"/>
      <c r="T25" s="12"/>
      <c r="U25" s="12"/>
      <c r="V25" s="12"/>
      <c r="W25" s="12"/>
    </row>
    <row r="26" spans="1:23" x14ac:dyDescent="0.25">
      <c r="A26" s="11" t="s">
        <v>84</v>
      </c>
      <c r="B26" s="28">
        <v>3359.193784826342</v>
      </c>
      <c r="C26" s="12"/>
      <c r="D26" s="12"/>
      <c r="E26" s="12"/>
      <c r="F26" s="12"/>
      <c r="G26" s="12"/>
      <c r="H26" s="12"/>
      <c r="I26" s="12"/>
      <c r="J26" s="12"/>
      <c r="K26" s="12"/>
      <c r="L26" s="12"/>
      <c r="M26" s="12"/>
      <c r="N26" s="12"/>
      <c r="O26" s="12"/>
      <c r="P26" s="12"/>
      <c r="Q26" s="12"/>
      <c r="R26" s="12"/>
      <c r="S26" s="12"/>
      <c r="T26" s="12"/>
      <c r="U26" s="12"/>
      <c r="V26" s="12"/>
      <c r="W26" s="12"/>
    </row>
    <row r="27" spans="1:23" x14ac:dyDescent="0.25">
      <c r="A27" s="11" t="s">
        <v>85</v>
      </c>
      <c r="B27" s="28">
        <v>12.5</v>
      </c>
      <c r="C27" s="12"/>
      <c r="D27" s="12"/>
      <c r="E27" s="12"/>
      <c r="F27" s="12"/>
      <c r="G27" s="12"/>
      <c r="H27" s="12"/>
      <c r="I27" s="12"/>
      <c r="J27" s="12"/>
      <c r="K27" s="12"/>
      <c r="L27" s="12"/>
      <c r="M27" s="12"/>
      <c r="N27" s="12"/>
      <c r="O27" s="12"/>
      <c r="P27" s="12"/>
      <c r="Q27" s="12"/>
      <c r="R27" s="12"/>
      <c r="S27" s="12"/>
      <c r="T27" s="12"/>
      <c r="U27" s="12"/>
      <c r="V27" s="12"/>
      <c r="W27" s="12"/>
    </row>
    <row r="28" spans="1:23" x14ac:dyDescent="0.25">
      <c r="A28" s="11" t="s">
        <v>86</v>
      </c>
      <c r="B28" s="24">
        <f>=B25-B26-B27</f>
      </c>
      <c r="C28" s="12"/>
      <c r="D28" s="12"/>
      <c r="E28" s="12"/>
      <c r="F28" s="12"/>
      <c r="G28" s="12"/>
      <c r="H28" s="12"/>
      <c r="I28" s="12"/>
      <c r="J28" s="12"/>
      <c r="K28" s="12"/>
      <c r="L28" s="12"/>
      <c r="M28" s="12"/>
      <c r="N28" s="12"/>
      <c r="O28" s="12"/>
      <c r="P28" s="12"/>
      <c r="Q28" s="12"/>
      <c r="R28" s="12"/>
      <c r="S28" s="12"/>
      <c r="T28" s="12"/>
      <c r="U28" s="12"/>
      <c r="V28" s="12"/>
      <c r="W28" s="12"/>
    </row>
    <row r="29" spans="1:23" x14ac:dyDescent="0.25">
      <c r="A29" s="11" t="s">
        <v>87</v>
      </c>
      <c r="B29" s="29">
        <f>=Summary!B20</f>
      </c>
      <c r="C29" s="12"/>
      <c r="D29" s="12"/>
      <c r="E29" s="12"/>
      <c r="F29" s="12"/>
      <c r="G29" s="12"/>
      <c r="H29" s="12"/>
      <c r="I29" s="12"/>
      <c r="J29" s="12"/>
      <c r="K29" s="12"/>
      <c r="L29" s="12"/>
      <c r="M29" s="12"/>
      <c r="N29" s="12"/>
      <c r="O29" s="12"/>
      <c r="P29" s="12"/>
      <c r="Q29" s="12"/>
      <c r="R29" s="12"/>
      <c r="S29" s="12"/>
      <c r="T29" s="12"/>
      <c r="U29" s="12"/>
      <c r="V29" s="12"/>
      <c r="W29" s="12"/>
    </row>
    <row r="30" spans="1:23" x14ac:dyDescent="0.25">
      <c r="A30" s="11" t="s">
        <v>88</v>
      </c>
      <c r="B30" s="30">
        <f>=B28/B29</f>
      </c>
      <c r="C30" s="12"/>
      <c r="D30" s="12"/>
      <c r="E30" s="12"/>
      <c r="F30" s="12"/>
      <c r="G30" s="12"/>
      <c r="H30" s="12"/>
      <c r="I30" s="12"/>
      <c r="J30" s="12"/>
      <c r="K30" s="12"/>
      <c r="L30" s="12"/>
      <c r="M30" s="12"/>
      <c r="N30" s="12"/>
      <c r="O30" s="12"/>
      <c r="P30" s="12"/>
      <c r="Q30" s="12"/>
      <c r="R30" s="12"/>
      <c r="S30" s="12"/>
      <c r="T30" s="12"/>
      <c r="U30" s="12"/>
      <c r="V30" s="12"/>
      <c r="W30" s="12"/>
    </row>
  </sheetData>
  <pageMargins left="0.7" right="0.7" top="0.75" bottom="0.75" header="0.3" footer="0.3"/>
  <pageSetup orientation="portrait" horizontalDpi="4294967295" verticalDpi="4294967295" scale="100" fitToWidth="1" fitToHeigh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howGridLines="0"/>
  </sheetViews>
  <sheetFormatPr defaultRowHeight="15" outlineLevelRow="0" outlineLevelCol="0" x14ac:dyDescent="55"/>
  <cols>
    <col min="1" max="1" width="25" style="6" customWidth="1"/>
    <col min="2" max="2" width="15" style="7" customWidth="1"/>
    <col min="3" max="3" width="15" style="6" customWidth="1"/>
    <col min="4" max="6" width="20" style="7" customWidth="1"/>
  </cols>
  <sheetData>
    <row r="1" spans="1:6" s="8" customFormat="1" x14ac:dyDescent="0.25">
      <c r="A1" s="9" t="s">
        <v>89</v>
      </c>
      <c r="B1" s="10"/>
      <c r="C1" s="9"/>
      <c r="D1" s="10"/>
      <c r="E1" s="10"/>
      <c r="F1" s="10"/>
    </row>
    <row r="2" spans="1:6" x14ac:dyDescent="0.25">
      <c r="A2" s="11" t="s">
        <v>10</v>
      </c>
      <c r="B2" s="12"/>
      <c r="C2" s="11"/>
      <c r="D2" s="12"/>
      <c r="E2" s="12"/>
      <c r="F2" s="12"/>
    </row>
    <row r="4" spans="1:6" s="17" customFormat="1" x14ac:dyDescent="0.25">
      <c r="A4" s="18" t="s">
        <v>90</v>
      </c>
      <c r="B4" s="31"/>
      <c r="C4" s="18"/>
      <c r="D4" s="31"/>
      <c r="E4" s="31"/>
      <c r="F4" s="31"/>
    </row>
    <row r="5" spans="1:6" s="32" customFormat="1" x14ac:dyDescent="0.25">
      <c r="A5" s="21" t="s">
        <v>91</v>
      </c>
      <c r="B5" s="22" t="s">
        <v>92</v>
      </c>
      <c r="C5" s="21" t="s">
        <v>93</v>
      </c>
      <c r="D5" s="22" t="s">
        <v>94</v>
      </c>
      <c r="E5" s="22" t="s">
        <v>95</v>
      </c>
      <c r="F5" s="22" t="s">
        <v>96</v>
      </c>
    </row>
    <row r="6" spans="1:6" x14ac:dyDescent="0.25">
      <c r="A6" s="33">
        <v>21653000</v>
      </c>
      <c r="B6" s="13">
        <v>20.83</v>
      </c>
      <c r="C6" s="34">
        <v>4.2</v>
      </c>
      <c r="D6" s="14">
        <v>0.5665</v>
      </c>
      <c r="E6" s="14">
        <v>0</v>
      </c>
      <c r="F6" s="35"/>
    </row>
    <row r="8" spans="1:6" s="17" customFormat="1" x14ac:dyDescent="0.25">
      <c r="A8" s="18" t="s">
        <v>97</v>
      </c>
      <c r="B8" s="31"/>
      <c r="C8" s="18"/>
      <c r="D8" s="31"/>
      <c r="E8" s="31"/>
      <c r="F8" s="31"/>
    </row>
    <row r="9" spans="1:6" s="32" customFormat="1" x14ac:dyDescent="0.25">
      <c r="A9" s="21" t="s">
        <v>98</v>
      </c>
      <c r="B9" s="22" t="s">
        <v>96</v>
      </c>
      <c r="C9" s="21" t="s">
        <v>99</v>
      </c>
      <c r="D9" s="36"/>
      <c r="E9" s="36"/>
      <c r="F9" s="36"/>
    </row>
    <row r="10" spans="1:6" x14ac:dyDescent="0.25">
      <c r="A10" s="11" t="s">
        <v>100</v>
      </c>
      <c r="B10" s="16">
        <v>0</v>
      </c>
      <c r="C10" s="11" t="s">
        <v>62</v>
      </c>
      <c r="D10" s="12"/>
      <c r="E10" s="12"/>
      <c r="F10" s="12"/>
    </row>
    <row r="11" spans="1:6" x14ac:dyDescent="0.25">
      <c r="A11" s="11" t="s">
        <v>101</v>
      </c>
      <c r="B11" s="16">
        <v>0</v>
      </c>
      <c r="C11" s="11" t="s">
        <v>62</v>
      </c>
      <c r="D11" s="12"/>
      <c r="E11" s="12"/>
      <c r="F11" s="12"/>
    </row>
    <row r="12" spans="1:6" x14ac:dyDescent="0.25">
      <c r="A12" s="11" t="s">
        <v>102</v>
      </c>
      <c r="B12" s="16">
        <v>0</v>
      </c>
      <c r="C12" s="11" t="s">
        <v>62</v>
      </c>
      <c r="D12" s="12"/>
      <c r="E12" s="12"/>
      <c r="F12" s="12"/>
    </row>
    <row r="13" spans="1:6" x14ac:dyDescent="0.25">
      <c r="A13" s="11" t="s">
        <v>103</v>
      </c>
      <c r="B13" s="16">
        <v>0</v>
      </c>
      <c r="C13" s="11" t="s">
        <v>62</v>
      </c>
      <c r="D13" s="12"/>
      <c r="E13" s="12"/>
      <c r="F13" s="12"/>
    </row>
    <row r="14" spans="1:6" x14ac:dyDescent="0.25">
      <c r="A14" s="11" t="s">
        <v>104</v>
      </c>
      <c r="B14" s="16">
        <v>12.5</v>
      </c>
      <c r="C14" s="11" t="s">
        <v>105</v>
      </c>
      <c r="D14" s="12"/>
      <c r="E14" s="12"/>
      <c r="F14" s="12"/>
    </row>
    <row r="15" spans="1:6" x14ac:dyDescent="0.25">
      <c r="A15" s="11" t="s">
        <v>106</v>
      </c>
      <c r="B15" s="16">
        <v>0</v>
      </c>
      <c r="C15" s="11" t="s">
        <v>62</v>
      </c>
      <c r="D15" s="12"/>
      <c r="E15" s="12"/>
      <c r="F15" s="12"/>
    </row>
    <row r="16" spans="1:6" x14ac:dyDescent="0.25">
      <c r="A16" s="11" t="s">
        <v>107</v>
      </c>
      <c r="B16" s="16">
        <v>0</v>
      </c>
      <c r="C16" s="11" t="s">
        <v>62</v>
      </c>
      <c r="D16" s="12"/>
      <c r="E16" s="12"/>
      <c r="F16" s="12"/>
    </row>
  </sheetData>
  <pageMargins left="0.7" right="0.7" top="0.75" bottom="0.75" header="0.3" footer="0.3"/>
  <pageSetup orientation="portrait" horizontalDpi="4294967295" verticalDpi="4294967295" scale="100" fitToWidth="1" fitToHeigh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owGridLines="0"/>
  </sheetViews>
  <sheetFormatPr defaultRowHeight="15" outlineLevelRow="0" outlineLevelCol="0" x14ac:dyDescent="55"/>
  <cols>
    <col min="1" max="1" width="30" style="6" customWidth="1"/>
    <col min="2" max="6" width="15" style="7" customWidth="1"/>
  </cols>
  <sheetData>
    <row r="1" spans="1:6" s="8" customFormat="1" x14ac:dyDescent="0.25">
      <c r="A1" s="9" t="s">
        <v>108</v>
      </c>
      <c r="B1" s="10"/>
      <c r="C1" s="10"/>
      <c r="D1" s="10"/>
      <c r="E1" s="10"/>
      <c r="F1" s="10"/>
    </row>
    <row r="2" spans="1:6" x14ac:dyDescent="0.25">
      <c r="A2" s="11" t="s">
        <v>10</v>
      </c>
      <c r="B2" s="12"/>
      <c r="C2" s="12"/>
      <c r="D2" s="12"/>
      <c r="E2" s="12"/>
      <c r="F2" s="12"/>
    </row>
    <row r="4" spans="1:6" x14ac:dyDescent="0.25">
      <c r="A4" s="21" t="s">
        <v>109</v>
      </c>
      <c r="B4" s="37">
        <v>2025</v>
      </c>
      <c r="C4" s="37">
        <v>2024</v>
      </c>
      <c r="D4" s="37">
        <v>2023</v>
      </c>
      <c r="E4" s="37">
        <v>2022</v>
      </c>
      <c r="F4" s="37">
        <v>2021</v>
      </c>
    </row>
    <row r="5" spans="1:6" x14ac:dyDescent="0.25">
      <c r="A5" s="11" t="s">
        <v>64</v>
      </c>
      <c r="B5" s="16">
        <v>3626.396</v>
      </c>
      <c r="C5" s="16">
        <v>2806.489</v>
      </c>
      <c r="D5" s="16">
        <v>2065.659</v>
      </c>
      <c r="E5" s="16">
        <v>1219.327</v>
      </c>
      <c r="F5" s="16">
        <v>592.049</v>
      </c>
    </row>
    <row r="6" spans="1:6" x14ac:dyDescent="0.25">
      <c r="A6" s="11" t="s">
        <v>110</v>
      </c>
      <c r="B6" s="14">
        <v>0.2921</v>
      </c>
      <c r="C6" s="14">
        <v>0.3586</v>
      </c>
      <c r="D6" s="14">
        <v>0.6941</v>
      </c>
      <c r="E6" s="14">
        <v>1.0595</v>
      </c>
      <c r="F6" s="14">
        <v>1.2363</v>
      </c>
    </row>
    <row r="7" spans="1:6" x14ac:dyDescent="0.25">
      <c r="A7" s="11" t="s">
        <v>111</v>
      </c>
      <c r="B7" s="16">
        <v>237.175</v>
      </c>
      <c r="C7" s="16">
        <v>453.5705</v>
      </c>
      <c r="D7" s="16">
        <v>177.0628</v>
      </c>
      <c r="E7" s="16">
        <v>-20.4719</v>
      </c>
      <c r="F7" s="16">
        <v>-126.26165</v>
      </c>
    </row>
    <row r="8" spans="1:6" x14ac:dyDescent="0.25">
      <c r="A8" s="11" t="s">
        <v>112</v>
      </c>
      <c r="B8" s="14">
        <v>0.06540239951731691</v>
      </c>
      <c r="C8" s="14">
        <v>0.1616149217046637</v>
      </c>
      <c r="D8" s="14">
        <v>0.08571734250425651</v>
      </c>
      <c r="E8" s="14">
        <v>-0.01678950765463243</v>
      </c>
      <c r="F8" s="14">
        <v>-0.2132621624223671</v>
      </c>
    </row>
    <row r="9" spans="1:6" x14ac:dyDescent="0.25">
      <c r="A9" s="11" t="s">
        <v>113</v>
      </c>
      <c r="B9" s="16">
        <v>-1573.219</v>
      </c>
      <c r="C9" s="16">
        <v>-19.7335</v>
      </c>
      <c r="D9" s="16">
        <v>257.8868</v>
      </c>
      <c r="E9" s="16">
        <v>158.7911</v>
      </c>
      <c r="F9" s="16">
        <v>4648.10235</v>
      </c>
    </row>
    <row r="10" spans="1:6" x14ac:dyDescent="0.25">
      <c r="A10" s="11" t="s">
        <v>114</v>
      </c>
      <c r="B10" s="16">
        <v>1810.394</v>
      </c>
      <c r="C10" s="16">
        <v>473.304</v>
      </c>
      <c r="D10" s="16">
        <v>-80.824</v>
      </c>
      <c r="E10" s="16">
        <v>-179.263</v>
      </c>
      <c r="F10" s="16">
        <v>-4774.364</v>
      </c>
    </row>
    <row r="11" spans="1:6" x14ac:dyDescent="0.25">
      <c r="A11" s="11" t="s">
        <v>115</v>
      </c>
      <c r="B11" s="16">
        <v>8293.19305</v>
      </c>
      <c r="C11" s="16">
        <v>8950.75705</v>
      </c>
      <c r="D11" s="16">
        <v>7937.21755</v>
      </c>
      <c r="E11" s="16">
        <v>6556.05875</v>
      </c>
      <c r="F11" s="16">
        <v>5784.00865</v>
      </c>
    </row>
    <row r="12" spans="1:6" x14ac:dyDescent="0.25">
      <c r="A12" s="11" t="s">
        <v>116</v>
      </c>
      <c r="B12" s="14">
        <v>0.02859875545764607</v>
      </c>
      <c r="C12" s="14">
        <v>0.05067398181699055</v>
      </c>
      <c r="D12" s="14">
        <v>0.02230791822003165</v>
      </c>
      <c r="E12" s="14">
        <v>-0.003122592517951429</v>
      </c>
      <c r="F12" s="14">
        <v>-0.02182943657942144</v>
      </c>
    </row>
    <row r="13" spans="1:6" x14ac:dyDescent="0.25">
      <c r="A13" s="11" t="s">
        <v>117</v>
      </c>
      <c r="B13" s="16">
        <v>0.4372737952844351</v>
      </c>
      <c r="C13" s="16">
        <v>0.3135476680154111</v>
      </c>
      <c r="D13" s="16">
        <v>0.2602497647302108</v>
      </c>
      <c r="E13" s="16">
        <v>0.1859847579919872</v>
      </c>
      <c r="F13" s="16">
        <v>0.102359632536165</v>
      </c>
    </row>
  </sheetData>
  <pageMargins left="0.7" right="0.7" top="0.75" bottom="0.75" header="0.3" footer="0.3"/>
  <pageSetup orientation="portrait" horizontalDpi="4294967295" verticalDpi="4294967295" scale="100" fitToWidth="1" fitToHeigh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howGridLines="0"/>
  </sheetViews>
  <sheetFormatPr defaultRowHeight="15" outlineLevelRow="0" outlineLevelCol="0" x14ac:dyDescent="55"/>
  <cols>
    <col min="1" max="1" width="9" style="6" customWidth="1"/>
    <col min="2" max="2" width="9" style="7" customWidth="1"/>
    <col min="3" max="3" width="9" style="38" customWidth="1"/>
    <col min="4" max="4" width="9" style="7" customWidth="1"/>
    <col min="5" max="5" width="9" style="38" customWidth="1"/>
    <col min="6" max="6" width="9" style="7" customWidth="1"/>
  </cols>
  <sheetData>
    <row r="1" spans="1:6" s="8" customFormat="1" x14ac:dyDescent="0.25">
      <c r="A1" s="9" t="s">
        <v>118</v>
      </c>
      <c r="B1" s="10"/>
      <c r="C1" s="39"/>
      <c r="D1" s="10"/>
      <c r="E1" s="39"/>
      <c r="F1" s="10"/>
    </row>
    <row r="2" spans="1:6" x14ac:dyDescent="0.25">
      <c r="A2" s="11" t="s">
        <v>10</v>
      </c>
      <c r="B2" s="12"/>
      <c r="C2" s="40"/>
      <c r="D2" s="12"/>
      <c r="E2" s="40"/>
      <c r="F2" s="12"/>
    </row>
    <row r="4" spans="1:6" x14ac:dyDescent="0.25">
      <c r="A4" s="18" t="s">
        <v>119</v>
      </c>
      <c r="B4" s="12"/>
      <c r="C4" s="40"/>
      <c r="D4" s="12"/>
      <c r="E4" s="40"/>
      <c r="F4" s="12"/>
    </row>
    <row r="5" spans="1:6" s="32" customFormat="1" x14ac:dyDescent="0.25">
      <c r="A5" s="21" t="s">
        <v>120</v>
      </c>
      <c r="B5" s="22" t="s">
        <v>121</v>
      </c>
      <c r="C5" s="41" t="s">
        <v>110</v>
      </c>
      <c r="D5" s="22" t="s">
        <v>122</v>
      </c>
      <c r="E5" s="41" t="s">
        <v>110</v>
      </c>
      <c r="F5" s="22" t="s">
        <v>123</v>
      </c>
    </row>
    <row r="6" spans="1:6" x14ac:dyDescent="0.25">
      <c r="A6" s="11" t="s">
        <v>124</v>
      </c>
      <c r="B6" s="16">
        <v>188.041</v>
      </c>
      <c r="C6" s="14">
        <v>0.39679698119934936</v>
      </c>
      <c r="D6" s="16">
        <v>134.623</v>
      </c>
      <c r="E6" s="14">
        <v>0.4542361163622223</v>
      </c>
      <c r="F6" s="16">
        <v>92.573</v>
      </c>
    </row>
    <row r="7" spans="1:6" x14ac:dyDescent="0.25">
      <c r="A7" s="11" t="s">
        <v>125</v>
      </c>
      <c r="B7" s="16">
        <v>574.748</v>
      </c>
      <c r="C7" s="14">
        <v>0.32848550969179496</v>
      </c>
      <c r="D7" s="16">
        <v>432.634</v>
      </c>
      <c r="E7" s="14">
        <v>0.47825165888760574</v>
      </c>
      <c r="F7" s="16">
        <v>292.666</v>
      </c>
    </row>
    <row r="8" spans="1:6" x14ac:dyDescent="0.25">
      <c r="A8" s="11" t="s">
        <v>126</v>
      </c>
      <c r="B8" s="16">
        <v>2863.607</v>
      </c>
      <c r="C8" s="14">
        <v>0.278834439665028</v>
      </c>
      <c r="D8" s="16">
        <v>2239.232</v>
      </c>
      <c r="E8" s="14">
        <v>0.3325430547125123</v>
      </c>
      <c r="F8" s="16">
        <v>1680.42</v>
      </c>
    </row>
    <row r="9" spans="1:6" x14ac:dyDescent="0.25">
      <c r="A9" s="11" t="s">
        <v>127</v>
      </c>
      <c r="B9" s="16">
        <v>3626.396</v>
      </c>
      <c r="C9" s="14">
        <v>0.2921468781812436</v>
      </c>
      <c r="D9" s="16">
        <v>2806.489</v>
      </c>
      <c r="E9" s="14">
        <v>0.358640995440196</v>
      </c>
      <c r="F9" s="16">
        <v>2065.659</v>
      </c>
    </row>
    <row r="11" spans="1:6" x14ac:dyDescent="0.25">
      <c r="A11" s="18" t="s">
        <v>128</v>
      </c>
      <c r="B11" s="12"/>
      <c r="C11" s="40"/>
      <c r="D11" s="12"/>
      <c r="E11" s="40"/>
      <c r="F11" s="12"/>
    </row>
    <row r="12" spans="1:6" s="32" customFormat="1" x14ac:dyDescent="0.25">
      <c r="A12" s="21" t="s">
        <v>120</v>
      </c>
      <c r="B12" s="22" t="s">
        <v>121</v>
      </c>
      <c r="C12" s="41" t="s">
        <v>110</v>
      </c>
      <c r="D12" s="22" t="s">
        <v>122</v>
      </c>
      <c r="E12" s="41" t="s">
        <v>110</v>
      </c>
      <c r="F12" s="22" t="s">
        <v>123</v>
      </c>
    </row>
    <row r="13" spans="1:6" x14ac:dyDescent="0.25">
      <c r="A13" s="11" t="s">
        <v>129</v>
      </c>
      <c r="B13" s="16">
        <v>3462.422</v>
      </c>
      <c r="C13" s="14">
        <v>0.29831947740573234</v>
      </c>
      <c r="D13" s="16">
        <v>2666.849</v>
      </c>
      <c r="E13" s="14">
        <v>0.3755273282260059</v>
      </c>
      <c r="F13" s="16">
        <v>1938.783</v>
      </c>
    </row>
    <row r="14" spans="1:6" x14ac:dyDescent="0.25">
      <c r="A14" s="11" t="s">
        <v>130</v>
      </c>
      <c r="B14" s="16">
        <v>163.974</v>
      </c>
      <c r="C14" s="14">
        <v>0.17426238900028648</v>
      </c>
      <c r="D14" s="16">
        <v>139.64</v>
      </c>
      <c r="E14" s="14">
        <v>0.1006021627415743</v>
      </c>
      <c r="F14" s="16">
        <v>126.876</v>
      </c>
    </row>
    <row r="15" spans="1:6" x14ac:dyDescent="0.25">
      <c r="A15" s="11" t="s">
        <v>127</v>
      </c>
      <c r="B15" s="16">
        <v>3626.396</v>
      </c>
      <c r="C15" s="14">
        <v>0.2921468781812436</v>
      </c>
      <c r="D15" s="16">
        <v>2806.489</v>
      </c>
      <c r="E15" s="14">
        <v>0.358640995440196</v>
      </c>
      <c r="F15" s="16">
        <v>2065.659</v>
      </c>
    </row>
  </sheetData>
  <pageMargins left="0.7" right="0.7" top="0.75" bottom="0.75" header="0.3" footer="0.3"/>
  <pageSetup orientation="portrait" horizontalDpi="4294967295" verticalDpi="4294967295" scale="100" fitToWidth="1" fitToHeigh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owGridLines="0"/>
  </sheetViews>
  <sheetFormatPr defaultRowHeight="15" outlineLevelRow="0" outlineLevelCol="0" x14ac:dyDescent="55"/>
  <cols>
    <col min="1" max="1" width="28" style="6" customWidth="1"/>
    <col min="2" max="2" width="18" style="7" customWidth="1"/>
    <col min="3" max="3" width="26" style="7" customWidth="1"/>
    <col min="4" max="6" width="18" style="7" customWidth="1"/>
  </cols>
  <sheetData>
    <row r="1" spans="1:6" s="8" customFormat="1" x14ac:dyDescent="0.25">
      <c r="A1" s="9" t="s">
        <v>131</v>
      </c>
      <c r="B1" s="10"/>
      <c r="C1" s="10"/>
      <c r="D1" s="10"/>
      <c r="E1" s="10"/>
      <c r="F1" s="10"/>
    </row>
    <row r="2" spans="1:6" x14ac:dyDescent="0.25">
      <c r="A2" s="11" t="s">
        <v>10</v>
      </c>
      <c r="B2" s="12"/>
      <c r="C2" s="12"/>
      <c r="D2" s="12"/>
      <c r="E2" s="12"/>
      <c r="F2" s="12"/>
    </row>
    <row r="4" spans="1:6" s="32" customFormat="1" x14ac:dyDescent="0.25">
      <c r="A4" s="42" t="s">
        <v>132</v>
      </c>
      <c r="B4" s="36" t="s">
        <v>133</v>
      </c>
      <c r="C4" s="36" t="s">
        <v>134</v>
      </c>
      <c r="D4" s="36"/>
      <c r="E4" s="36"/>
      <c r="F4" s="36"/>
    </row>
    <row r="5" spans="1:6" x14ac:dyDescent="0.25">
      <c r="A5" s="11" t="s">
        <v>135</v>
      </c>
      <c r="B5" s="12" t="s">
        <v>136</v>
      </c>
      <c r="C5" s="12" t="s">
        <v>137</v>
      </c>
      <c r="D5" s="12"/>
      <c r="E5" s="12"/>
      <c r="F5" s="12"/>
    </row>
    <row r="6" spans="1:6" x14ac:dyDescent="0.25">
      <c r="A6" s="11" t="s">
        <v>138</v>
      </c>
      <c r="B6" s="12" t="s">
        <v>139</v>
      </c>
      <c r="C6" s="12" t="s">
        <v>140</v>
      </c>
      <c r="D6" s="12"/>
      <c r="E6" s="12"/>
      <c r="F6" s="12"/>
    </row>
    <row r="7" spans="1:6" x14ac:dyDescent="0.25">
      <c r="A7" s="11" t="s">
        <v>141</v>
      </c>
      <c r="B7" s="12" t="s">
        <v>142</v>
      </c>
      <c r="C7" s="12" t="s">
        <v>143</v>
      </c>
      <c r="D7" s="12"/>
      <c r="E7" s="12"/>
      <c r="F7" s="12"/>
    </row>
    <row r="9" spans="1:6" s="43" customFormat="1" x14ac:dyDescent="0.25">
      <c r="A9" s="44" t="s">
        <v>144</v>
      </c>
      <c r="B9" s="44"/>
      <c r="C9" s="44"/>
      <c r="D9" s="44"/>
      <c r="E9" s="44"/>
      <c r="F9" s="44"/>
    </row>
    <row r="10" spans="1:6" s="32" customFormat="1" x14ac:dyDescent="0.25">
      <c r="A10" s="42" t="s">
        <v>145</v>
      </c>
      <c r="B10" s="36" t="s">
        <v>146</v>
      </c>
      <c r="C10" s="36" t="s">
        <v>147</v>
      </c>
      <c r="D10" s="36" t="s">
        <v>148</v>
      </c>
      <c r="E10" s="36" t="s">
        <v>149</v>
      </c>
      <c r="F10" s="36" t="s">
        <v>150</v>
      </c>
    </row>
    <row r="11" spans="1:6" x14ac:dyDescent="0.25">
      <c r="A11" s="11" t="s">
        <v>135</v>
      </c>
      <c r="B11" s="45">
        <v>16.57205746580947</v>
      </c>
      <c r="C11" s="45">
        <v>29.14575370777323</v>
      </c>
      <c r="D11" s="45">
        <v>54.14796318410286</v>
      </c>
      <c r="E11" s="45">
        <v>108.301225018118</v>
      </c>
      <c r="F11" s="45">
        <v>188.2758676049094</v>
      </c>
    </row>
    <row r="12" spans="1:6" x14ac:dyDescent="0.25">
      <c r="A12" s="11" t="s">
        <v>138</v>
      </c>
      <c r="B12" s="46">
        <v>7.094249408240795</v>
      </c>
      <c r="C12" s="45">
        <v>12.16980827001754</v>
      </c>
      <c r="D12" s="45">
        <v>19.08572592051432</v>
      </c>
      <c r="E12" s="45">
        <v>38.18725426651081</v>
      </c>
      <c r="F12" s="45">
        <v>118.5766185052601</v>
      </c>
    </row>
    <row r="13" spans="1:6" x14ac:dyDescent="0.25">
      <c r="A13" s="11" t="s">
        <v>141</v>
      </c>
      <c r="B13" s="45">
        <v>41.39326045996493</v>
      </c>
      <c r="C13" s="45">
        <v>55.93421846697837</v>
      </c>
      <c r="D13" s="45">
        <v>112.345865055187</v>
      </c>
      <c r="E13" s="45">
        <v>184.6241203220485</v>
      </c>
      <c r="F13" s="45">
        <v>235.7501286747078</v>
      </c>
    </row>
  </sheetData>
  <mergeCells count="1">
    <mergeCell ref="A9:F9"/>
  </mergeCells>
  <pageMargins left="0.7" right="0.7" top="0.75" bottom="0.75" header="0.3" footer="0.3"/>
  <pageSetup orientation="portrait" horizontalDpi="4294967295" verticalDpi="4294967295" scale="100" fitToWidth="1" fitToHeigh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workbookViewId="0" showGridLines="0"/>
  </sheetViews>
  <sheetFormatPr defaultRowHeight="15" outlineLevelRow="0" outlineLevelCol="0" x14ac:dyDescent="55"/>
  <cols>
    <col min="1" max="1" width="30" style="6" customWidth="1"/>
    <col min="2" max="5" width="20" style="7" customWidth="1"/>
  </cols>
  <sheetData>
    <row r="1" spans="1:5" s="8" customFormat="1" x14ac:dyDescent="0.25">
      <c r="A1" s="9" t="s">
        <v>151</v>
      </c>
      <c r="B1" s="10"/>
      <c r="C1" s="10"/>
      <c r="D1" s="10"/>
      <c r="E1" s="10"/>
    </row>
    <row r="2" spans="1:5" x14ac:dyDescent="0.25">
      <c r="A2" s="11" t="s">
        <v>10</v>
      </c>
      <c r="B2" s="12"/>
      <c r="C2" s="12"/>
      <c r="D2" s="12"/>
      <c r="E2" s="12"/>
    </row>
    <row r="4" spans="1:5" s="17" customFormat="1" x14ac:dyDescent="0.25">
      <c r="A4" s="18" t="s">
        <v>152</v>
      </c>
      <c r="B4" s="31"/>
      <c r="C4" s="31"/>
      <c r="D4" s="31"/>
      <c r="E4" s="31"/>
    </row>
    <row r="5" spans="1:5" x14ac:dyDescent="0.25">
      <c r="A5" s="11" t="s">
        <v>153</v>
      </c>
      <c r="B5" s="19">
        <v>0.04051999999999999</v>
      </c>
      <c r="C5" s="12"/>
      <c r="D5" s="12"/>
      <c r="E5" s="12"/>
    </row>
    <row r="6" spans="1:5" x14ac:dyDescent="0.25">
      <c r="A6" s="11" t="s">
        <v>154</v>
      </c>
      <c r="B6" s="12" t="s">
        <v>155</v>
      </c>
      <c r="C6" s="12"/>
      <c r="D6" s="12"/>
      <c r="E6" s="12"/>
    </row>
    <row r="7" spans="1:5" x14ac:dyDescent="0.25">
      <c r="A7" s="11" t="s">
        <v>156</v>
      </c>
      <c r="B7" s="19">
        <v>0.003</v>
      </c>
      <c r="C7" s="12"/>
      <c r="D7" s="12"/>
      <c r="E7" s="12"/>
    </row>
    <row r="8" spans="1:5" x14ac:dyDescent="0.25">
      <c r="A8" s="11" t="s">
        <v>157</v>
      </c>
      <c r="B8" s="25">
        <f>=INDEX(B:B,MATCH("Ten-year bond yield",A:A,0))-INDEX(B:B,MATCH("Default spread",A:A,0))</f>
      </c>
      <c r="C8" s="12"/>
      <c r="D8" s="12"/>
      <c r="E8" s="12"/>
    </row>
    <row r="10" spans="1:5" s="17" customFormat="1" x14ac:dyDescent="0.25">
      <c r="A10" s="18" t="s">
        <v>158</v>
      </c>
      <c r="B10" s="31"/>
      <c r="C10" s="31"/>
      <c r="D10" s="31"/>
      <c r="E10" s="31"/>
    </row>
    <row r="11" spans="1:5" s="32" customFormat="1" x14ac:dyDescent="0.25">
      <c r="A11" s="21" t="s">
        <v>120</v>
      </c>
      <c r="B11" s="22" t="s">
        <v>159</v>
      </c>
      <c r="C11" s="22" t="s">
        <v>160</v>
      </c>
      <c r="D11" s="22" t="s">
        <v>161</v>
      </c>
      <c r="E11" s="22" t="s">
        <v>162</v>
      </c>
    </row>
    <row r="12" spans="1:5" x14ac:dyDescent="0.25">
      <c r="A12" s="11" t="s">
        <v>129</v>
      </c>
      <c r="B12" s="20">
        <v>3462.422</v>
      </c>
      <c r="C12" s="20">
        <v>4.71</v>
      </c>
      <c r="D12" s="25">
        <f>(B12*C12)/SUMPRODUCT(B12:B13,C12:C13)</f>
      </c>
      <c r="E12" s="20">
        <v>2.18</v>
      </c>
    </row>
    <row r="13" spans="1:5" x14ac:dyDescent="0.25">
      <c r="A13" s="11" t="s">
        <v>130</v>
      </c>
      <c r="B13" s="20">
        <v>163.974</v>
      </c>
      <c r="C13" s="20">
        <v>3.61</v>
      </c>
      <c r="D13" s="25">
        <f>(B13*C13)/SUMPRODUCT(B12:B13,C12:C13)</f>
      </c>
      <c r="E13" s="20">
        <v>1.42</v>
      </c>
    </row>
    <row r="15" spans="1:5" x14ac:dyDescent="0.25">
      <c r="A15" s="11" t="s">
        <v>162</v>
      </c>
      <c r="B15" s="47">
        <f>=SUMPRODUCT(INDEX(D:D,MATCH("Segment",A:A,0)+1):INDEX(D:D,MATCH(TRUE,INDEX((INDEX(A:A,MATCH("Segment",A:A,0)+1):A1048576)="",0),0)+MATCH("Segment",A:A,0)+1-1),INDEX(E:E,MATCH("Segment",A:A,0)+1):INDEX(E:E,MATCH(TRUE,INDEX((INDEX(A:A,MATCH("Segment",A:A,0)+1):A1048576)="",0),0)+MATCH("Segment",A:A,0)+1-1))</f>
      </c>
      <c r="C15" s="12"/>
      <c r="D15" s="12"/>
      <c r="E15" s="12"/>
    </row>
    <row r="16" spans="1:5" x14ac:dyDescent="0.25">
      <c r="A16" s="11" t="s">
        <v>163</v>
      </c>
      <c r="B16" s="19">
        <v>0.04549030569461032</v>
      </c>
      <c r="C16" s="12"/>
      <c r="D16" s="12"/>
      <c r="E16" s="12"/>
    </row>
    <row r="17" spans="1:5" x14ac:dyDescent="0.25">
      <c r="A17" s="11" t="s">
        <v>164</v>
      </c>
      <c r="B17" s="19">
        <v>0.07514685706517257</v>
      </c>
      <c r="C17" s="12"/>
      <c r="D17" s="12"/>
      <c r="E17" s="12"/>
    </row>
    <row r="18" spans="1:5" x14ac:dyDescent="0.25">
      <c r="A18" s="11" t="s">
        <v>165</v>
      </c>
      <c r="B18" s="19">
        <v>0.2164699960511759</v>
      </c>
      <c r="C18" s="12"/>
      <c r="D18" s="12"/>
      <c r="E18" s="12"/>
    </row>
    <row r="19" spans="1:5" x14ac:dyDescent="0.25">
      <c r="A19" s="11" t="s">
        <v>166</v>
      </c>
      <c r="B19" s="47">
        <f>=INDEX(B:B,MATCH("Business beta",A:A,0))*(1+(1-INDEX(B:B,MATCH("Marginal tax rate",A:A,0)))*INDEX(B:B,MATCH("Debt-to-equity ratio",A:A,0)))*(1-INDEX(B:B,MATCH("Cash-to-firm ratio",A:A,0)))</f>
      </c>
      <c r="C19" s="12"/>
      <c r="D19" s="12"/>
      <c r="E19" s="12"/>
    </row>
    <row r="21" spans="1:5" s="17" customFormat="1" x14ac:dyDescent="0.25">
      <c r="A21" s="18" t="s">
        <v>167</v>
      </c>
      <c r="B21" s="31"/>
      <c r="C21" s="31"/>
      <c r="D21" s="31"/>
      <c r="E21" s="31"/>
    </row>
    <row r="22" spans="1:5" x14ac:dyDescent="0.25">
      <c r="A22" s="11" t="s">
        <v>168</v>
      </c>
      <c r="B22" s="12" t="s">
        <v>169</v>
      </c>
      <c r="C22" s="12"/>
      <c r="D22" s="12"/>
      <c r="E22" s="12"/>
    </row>
    <row r="23" spans="1:5" x14ac:dyDescent="0.25">
      <c r="A23" s="11" t="s">
        <v>170</v>
      </c>
      <c r="B23" s="12" t="s">
        <v>171</v>
      </c>
      <c r="C23" s="12"/>
      <c r="D23" s="12"/>
      <c r="E23" s="12"/>
    </row>
    <row r="25" spans="1:5" s="17" customFormat="1" x14ac:dyDescent="0.25">
      <c r="A25" s="18" t="s">
        <v>172</v>
      </c>
      <c r="B25" s="31"/>
      <c r="C25" s="31"/>
      <c r="D25" s="31"/>
      <c r="E25" s="31"/>
    </row>
    <row r="26" spans="1:5" s="32" customFormat="1" x14ac:dyDescent="0.25">
      <c r="A26" s="21" t="s">
        <v>173</v>
      </c>
      <c r="B26" s="22" t="s">
        <v>159</v>
      </c>
      <c r="C26" s="22" t="s">
        <v>161</v>
      </c>
      <c r="D26" s="22" t="s">
        <v>174</v>
      </c>
      <c r="E26" s="22" t="s">
        <v>175</v>
      </c>
    </row>
    <row r="27" spans="1:5" x14ac:dyDescent="0.25">
      <c r="A27" s="11" t="s">
        <v>155</v>
      </c>
      <c r="B27" s="20">
        <v>2863.607</v>
      </c>
      <c r="C27" s="25">
        <f>B27/SUM(B27:B29)</f>
      </c>
      <c r="D27" s="19">
        <v>0.0453</v>
      </c>
      <c r="E27" s="19">
        <v>0.21</v>
      </c>
    </row>
    <row r="28" spans="1:5" x14ac:dyDescent="0.25">
      <c r="A28" s="11" t="s">
        <v>176</v>
      </c>
      <c r="B28" s="20">
        <v>574.748</v>
      </c>
      <c r="C28" s="25">
        <f>B28/SUM(B27:B29)</f>
      </c>
      <c r="D28" s="19">
        <v>0.07429999999999999</v>
      </c>
      <c r="E28" s="19">
        <v>0.2361</v>
      </c>
    </row>
    <row r="29" spans="1:5" x14ac:dyDescent="0.25">
      <c r="A29" s="11" t="s">
        <v>177</v>
      </c>
      <c r="B29" s="20">
        <v>188.041</v>
      </c>
      <c r="C29" s="25">
        <f>B29/SUM(B27:B29)</f>
      </c>
      <c r="D29" s="19">
        <v>0.0636</v>
      </c>
      <c r="E29" s="19">
        <v>0.255</v>
      </c>
    </row>
    <row r="31" spans="1:5" x14ac:dyDescent="0.25">
      <c r="A31" s="11" t="s">
        <v>178</v>
      </c>
      <c r="B31" s="25">
        <f>=SUMPRODUCT(INDEX(C:C,MATCH("Country",A:A,0)+1):INDEX(C:C,MATCH(TRUE,INDEX((INDEX(A:A,MATCH("Country",A:A,0)+1):A1048576)="",0),0)+MATCH("Country",A:A,0)+1-1),INDEX(D:D,MATCH("Country",A:A,0)+1):INDEX(D:D,MATCH(TRUE,INDEX((INDEX(A:A,MATCH("Country",A:A,0)+1):A1048576)="",0),0)+MATCH("Country",A:A,0)+1-1))</f>
      </c>
      <c r="C31" s="12"/>
      <c r="D31" s="12"/>
      <c r="E31" s="12"/>
    </row>
    <row r="33" spans="1:5" s="17" customFormat="1" x14ac:dyDescent="0.25">
      <c r="A33" s="18" t="s">
        <v>179</v>
      </c>
      <c r="B33" s="31"/>
      <c r="C33" s="31"/>
      <c r="D33" s="31"/>
      <c r="E33" s="31"/>
    </row>
    <row r="34" spans="1:5" x14ac:dyDescent="0.25">
      <c r="A34" s="11" t="s">
        <v>157</v>
      </c>
      <c r="B34" s="25">
        <f>=INDEX(B:B,MATCH("Risk-free rate",A:A,0))</f>
      </c>
      <c r="C34" s="12"/>
      <c r="D34" s="12"/>
      <c r="E34" s="12"/>
    </row>
    <row r="35" spans="1:5" x14ac:dyDescent="0.25">
      <c r="A35" s="11" t="s">
        <v>180</v>
      </c>
      <c r="B35" s="25">
        <f>=INDEX(B:B,MATCH("Equity beta",A:A,0))*INDEX(B:B,MATCH("Equity risk premium",A:A,0))</f>
      </c>
      <c r="C35" s="12"/>
      <c r="D35" s="12"/>
      <c r="E35" s="12"/>
    </row>
    <row r="36" spans="1:5" x14ac:dyDescent="0.25">
      <c r="A36" s="11" t="s">
        <v>166</v>
      </c>
      <c r="B36" s="47">
        <f>=INDEX(B:B,MATCH("Equity beta",A:A,0))</f>
      </c>
      <c r="C36" s="12"/>
      <c r="D36" s="12"/>
      <c r="E36" s="12"/>
    </row>
    <row r="37" spans="1:5" x14ac:dyDescent="0.25">
      <c r="A37" s="11" t="s">
        <v>181</v>
      </c>
      <c r="B37" s="25">
        <f>=INDEX(B:B,MATCH("Company equity risk premium",A:A,0))</f>
      </c>
      <c r="C37" s="12"/>
      <c r="D37" s="12"/>
      <c r="E37" s="12"/>
    </row>
    <row r="38" spans="1:5" x14ac:dyDescent="0.25">
      <c r="A38" s="11" t="s">
        <v>151</v>
      </c>
      <c r="B38" s="25">
        <f>=INDEX(B:B,MATCH("Risk-free rate",A:A,0))+INDEX(B:B,MATCH("Equity beta",A:A,0))*INDEX(B:B,MATCH("Equity risk premium",A:A,0))</f>
      </c>
      <c r="C38" s="12"/>
      <c r="D38" s="12"/>
      <c r="E38" s="12"/>
    </row>
    <row r="40" spans="1:5" s="17" customFormat="1" x14ac:dyDescent="0.25">
      <c r="A40" s="18" t="s">
        <v>182</v>
      </c>
      <c r="B40" s="31"/>
      <c r="C40" s="31"/>
      <c r="D40" s="31"/>
      <c r="E40" s="31"/>
    </row>
    <row r="41" spans="1:5" x14ac:dyDescent="0.25">
      <c r="A41" s="11" t="s">
        <v>157</v>
      </c>
      <c r="B41" s="25">
        <f>=INDEX(B:B,MATCH("Risk-free rate",A:A,0))</f>
      </c>
      <c r="C41" s="12"/>
      <c r="D41" s="12"/>
      <c r="E41" s="12"/>
    </row>
    <row r="42" spans="1:5" x14ac:dyDescent="0.25">
      <c r="A42" s="11" t="s">
        <v>183</v>
      </c>
      <c r="B42" s="25">
        <f>=INDEX(B:B,MATCH("Stable beta (clamped)",A:A,0))*INDEX(B:B,MATCH("Equity risk premium",A:A,0))</f>
      </c>
      <c r="C42" s="12"/>
      <c r="D42" s="12"/>
      <c r="E42" s="12"/>
    </row>
    <row r="43" spans="1:5" x14ac:dyDescent="0.25">
      <c r="A43" s="11" t="s">
        <v>184</v>
      </c>
      <c r="B43" s="47">
        <f>=MIN(MAX(INDEX(B:B,MATCH("Equity beta",A:A,0)),0.8),1.2)</f>
      </c>
      <c r="C43" s="12"/>
      <c r="D43" s="12"/>
      <c r="E43" s="12"/>
    </row>
    <row r="44" spans="1:5" x14ac:dyDescent="0.25">
      <c r="A44" s="11" t="s">
        <v>181</v>
      </c>
      <c r="B44" s="25">
        <f>=INDEX(B:B,MATCH("Company equity risk premium",A:A,0))</f>
      </c>
      <c r="C44" s="12"/>
      <c r="D44" s="12"/>
      <c r="E44" s="12"/>
    </row>
    <row r="45" spans="1:5" x14ac:dyDescent="0.25">
      <c r="A45" s="11" t="s">
        <v>185</v>
      </c>
      <c r="B45" s="25">
        <f>=INDEX(B:B,MATCH("Risk-free rate",A:A,0))+INDEX(B:B,MATCH("Stable beta (clamped)",A:A,0))*INDEX(B:B,MATCH("Equity risk premium",A:A,0))</f>
      </c>
      <c r="C45" s="12"/>
      <c r="D45" s="12"/>
      <c r="E45" s="12"/>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Summary</vt:lpstr>
      <vt:lpstr>Assumptions</vt:lpstr>
      <vt:lpstr>DCF model</vt:lpstr>
      <vt:lpstr>Other claims</vt:lpstr>
      <vt:lpstr>Financials</vt:lpstr>
      <vt:lpstr>Segments</vt:lpstr>
      <vt:lpstr>Multiples</vt:lpstr>
      <vt:lpstr>Cost of equity</vt:lpstr>
      <vt:lpstr>Scenarios</vt:lpstr>
      <vt:lpstr>Sensitivity</vt:lpstr>
      <vt:lpstr>Reverse DCF</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dc:title/>
  <dc:subject/>
  <dc:description/>
  <cp:keywords/>
  <cp:category/>
  <cp:lastModifiedBy>Unknown</cp:lastModifiedBy>
  <dcterms:created xsi:type="dcterms:W3CDTF">2026-02-23T00:27:55Z</dcterms:created>
  <dcterms:modified xsi:type="dcterms:W3CDTF">2026-02-23T00:27:55Z</dcterms:modified>
</cp:coreProperties>
</file>