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Cover" state="visible" r:id="rId4"/>
    <sheet sheetId="2" name="Summary" state="visible" r:id="rId5"/>
    <sheet sheetId="3" name="Assumptions" state="visible" r:id="rId6"/>
    <sheet sheetId="4" name="DCF model" state="visible" r:id="rId7"/>
    <sheet sheetId="5" name="Other assets and claims" state="visible" r:id="rId8"/>
    <sheet sheetId="6" name="Financials" state="visible" r:id="rId9"/>
    <sheet sheetId="7" name="Segments" state="visible" r:id="rId10"/>
    <sheet sheetId="8" name="Multiples" state="visible" r:id="rId11"/>
    <sheet sheetId="9" name="Cost of equity" state="visible" r:id="rId12"/>
    <sheet sheetId="10" name="Scenarios" state="visible" r:id="rId13"/>
    <sheet sheetId="11" name="Sensitivity" state="visible" r:id="rId14"/>
    <sheet sheetId="12" name="Reverse DCF" state="visible" r:id="rId15"/>
  </sheets>
  <calcPr calcId="171027"/>
</workbook>
</file>

<file path=xl/sharedStrings.xml><?xml version="1.0" encoding="utf-8"?>
<sst xmlns="http://schemas.openxmlformats.org/spreadsheetml/2006/main" count="364" uniqueCount="271">
  <si>
    <t>ValuationBot.ai</t>
  </si>
  <si>
    <t>Alibaba Group Holding Limited (BABA)</t>
  </si>
  <si>
    <t>Analysis ID: db536474-2b58-4561-9096-7a3e96c30026</t>
  </si>
  <si>
    <t>Created: Mar 02, 2026 04:50pm</t>
  </si>
  <si>
    <t>User: Edmund Simms</t>
  </si>
  <si>
    <t>Email: edmund.simms@gmail.com</t>
  </si>
  <si>
    <t>View this analysis online</t>
  </si>
  <si>
    <t>© 2025–2026 Lyceum Analytics Ltd. ValuationBot is a trading name of Lyceum Analytics Ltd.</t>
  </si>
  <si>
    <t>Not financial advice. Use at your own risk.</t>
  </si>
  <si>
    <t>Summary</t>
  </si>
  <si>
    <t>(all financial data in Rmb millions unless stated otherwise)</t>
  </si>
  <si>
    <t>Company</t>
  </si>
  <si>
    <t>Alibaba Group Holding Limited</t>
  </si>
  <si>
    <t>Ticker</t>
  </si>
  <si>
    <t>BABA</t>
  </si>
  <si>
    <t>Created</t>
  </si>
  <si>
    <t>Mar 02, 2026 04:50pm</t>
  </si>
  <si>
    <t>Current price</t>
  </si>
  <si>
    <t>Estimated value</t>
  </si>
  <si>
    <t>Upside</t>
  </si>
  <si>
    <t>Expected IRR</t>
  </si>
  <si>
    <t>Currency</t>
  </si>
  <si>
    <t>CNY</t>
  </si>
  <si>
    <t>Valuation date</t>
  </si>
  <si>
    <t>Latest financials date</t>
  </si>
  <si>
    <t>Latest filing</t>
  </si>
  <si>
    <t>10-Q Dec 04, 2025</t>
  </si>
  <si>
    <t>Industry</t>
  </si>
  <si>
    <t>Specialty Retail</t>
  </si>
  <si>
    <t>Sector</t>
  </si>
  <si>
    <t>Consumer Cyclical</t>
  </si>
  <si>
    <t>Recommendation</t>
  </si>
  <si>
    <t>Buy</t>
  </si>
  <si>
    <t>Exchange</t>
  </si>
  <si>
    <t>NYSE</t>
  </si>
  <si>
    <t>Market cap</t>
  </si>
  <si>
    <t>Share count</t>
  </si>
  <si>
    <t>Assumptions</t>
  </si>
  <si>
    <t>(all financial data in US$ millions unless stated otherwise)</t>
  </si>
  <si>
    <t>Valuation story</t>
  </si>
  <si>
    <t>Alibaba sits in late growth moving into maturity. I expect the core China commerce platform to grow at a steady but slower pace because competition stays intense and the market looks more penetrated, while take-rate and membership tools support modest monetisation gains. I expect cloud and AI products to drive the next growth curve, but heavy infrastructure and product investment will limit near-term margin expansion. I expect international commerce and logistics to move closer to sustainable profitability, but regulation and geopolitics keep outcomes bounded in a base case.</t>
  </si>
  <si>
    <t>Revenue growth rate</t>
  </si>
  <si>
    <t>I treat Alibaba as a mature platform with a second growth curve in cloud and AI, so I anchor growth to the medium-term analyst revenue path rather than the higher historic five-year CAGR. Analysts imply roughly high single-digit annual growth across the next few years, so I use a mid-to-high single-digit rate that fits a five-year (Y/2) growth phase before it fades as China commerce saturates and mix effects normalise.</t>
  </si>
  <si>
    <t>Stable growth rate</t>
  </si>
  <si>
    <t>I set terminal growth just below the CNY risk-free rate to respect the hard constraint and to reflect long-run nominal growth for a large, mature consumer and enterprise platform. Regulation, competition, and the scale of the China market make a risk-free-plus terminal rate hard to defend in a base case.</t>
  </si>
  <si>
    <t>Years to stability</t>
  </si>
  <si>
    <t>I use a 10-year path because Alibaba sits in late growth to mature stage: the core marketplace grows modestly, while cloud and international can still compound for several years. With Y=10, the initial growth rate must be credible as a five-year CAGR, which matches the analyst trajectory that steps up from mid-single-digit to high single-digit growth before easing.</t>
  </si>
  <si>
    <t>Sales-to-equity ratio</t>
  </si>
  <si>
    <t>Alibaba needs heavy reinvestment in cloud infrastructure and logistics, so it will not look like a capital-light software firm. A ratio around 1.35 sits close to its recent adjusted history and stays below the industry median, which fits a base case where growth continues but requires meaningful equity-backed reinvestment.</t>
  </si>
  <si>
    <t>Stable net profit margin</t>
  </si>
  <si>
    <t>I assume a stable margin modestly above the industry median because Alibaba keeps scale advantages in China commerce and gains mix from higher-value cloud and advertising tools. I do not push it back to the unusually high past peak, because competition, regulatory friction, and ongoing AI investment should cap long-run profitability.</t>
  </si>
  <si>
    <t>FY+1 net profit margin</t>
  </si>
  <si>
    <t>I set next-year margin below the latest adjusted level because management signals ongoing step-up investment in cloud infrastructure and user experience, which tends to depress near-term profit conversion. This also aligns with the analyst net income trajectory that grows more slowly than revenue in the near term, before operating leverage improves later in the horizon.</t>
  </si>
  <si>
    <t>Margin convergence</t>
  </si>
  <si>
    <t>I let margins converge over several years because the mix shift to cloud and international takes time, and the near-term cost base includes elevated capex-related and go-to-market spending. A six-year glide path fits a mature firm that can improve efficiency, but cannot remove regulatory and competitive costs quickly.</t>
  </si>
  <si>
    <t>Stable ROE</t>
  </si>
  <si>
    <t>I set stable ROE above the stable cost of equity to reflect a continuing moat from platform scale, data, and logistics integration, but I assume some erosion from competition and regulation. The level sits around the industry middle-to-upper range and below Alibaba’s stronger historical years, which fits a base case with value creation but lower peak returns.</t>
  </si>
  <si>
    <t>Credit rating</t>
  </si>
  <si>
    <t>A3/A-</t>
  </si>
  <si>
    <t>I assign an upper-medium grade rating because Alibaba has very large scale, strong operating cash generation, and a large liquidity buffer, which offsets regulatory and geopolitical risk. Ongoing capex and some convertible and bond funding add leverage, but the overall profile still fits an A-range issuer in a base case.</t>
  </si>
  <si>
    <t>Recovery ratio</t>
  </si>
  <si>
    <t>I assume a mid recovery because the business holds substantial tangible and financial assets, plus a resilient core marketplace cash engine, which supports creditor outcomes. Structural and regulatory risks in China reduce recoverability versus a purely domestic developed-market peer, so I do not assume a very high recovery.</t>
  </si>
  <si>
    <t>DCF model</t>
  </si>
  <si>
    <t/>
  </si>
  <si>
    <t>Base year</t>
  </si>
  <si>
    <t>Revenue</t>
  </si>
  <si>
    <t>Growth, year-on-year, %</t>
  </si>
  <si>
    <t>Less: All expenses</t>
  </si>
  <si>
    <t>Net profit to common equity</t>
  </si>
  <si>
    <t>Net profit margin, %</t>
  </si>
  <si>
    <t>Less: Net reinvestment</t>
  </si>
  <si>
    <t>Invested common equity</t>
  </si>
  <si>
    <t>Return on common equity, %</t>
  </si>
  <si>
    <t>Sales to equity ratio, x</t>
  </si>
  <si>
    <t>Free cash flow to equity</t>
  </si>
  <si>
    <t>Plus: Stable value</t>
  </si>
  <si>
    <t>Free cash flows to be discounted</t>
  </si>
  <si>
    <t>Multiply: Discount factor</t>
  </si>
  <si>
    <t>Cost of equity, %</t>
  </si>
  <si>
    <t>Present value of free cash flows to equity</t>
  </si>
  <si>
    <t>Sum of PV of FCFE</t>
  </si>
  <si>
    <t>Less: Distress adjustments</t>
  </si>
  <si>
    <t>Distress likelihood, %</t>
  </si>
  <si>
    <t>Recovery ratio, %</t>
  </si>
  <si>
    <t>Value of common equity</t>
  </si>
  <si>
    <t>Excess cash</t>
  </si>
  <si>
    <t>Less: Employee options</t>
  </si>
  <si>
    <t>Less: Unfunded liabilities</t>
  </si>
  <si>
    <t>Value of common shareholders' equity</t>
  </si>
  <si>
    <t>Divide: Share count</t>
  </si>
  <si>
    <t>Equity value per share</t>
  </si>
  <si>
    <t>Other assets and claims</t>
  </si>
  <si>
    <t>Employee stock options</t>
  </si>
  <si>
    <t>Number</t>
  </si>
  <si>
    <t>Strike price</t>
  </si>
  <si>
    <t>Maturity</t>
  </si>
  <si>
    <t>Assumed volatility</t>
  </si>
  <si>
    <t>Assumed dividend yield</t>
  </si>
  <si>
    <t>Value</t>
  </si>
  <si>
    <t>Unfunded liabilities</t>
  </si>
  <si>
    <t>Item</t>
  </si>
  <si>
    <t>Explanation</t>
  </si>
  <si>
    <t>Pension Obligations</t>
  </si>
  <si>
    <t>Post Retirement Benefits</t>
  </si>
  <si>
    <t>Healthcare Liabilities</t>
  </si>
  <si>
    <t>Deferred Compensation</t>
  </si>
  <si>
    <t>Lawsuit Contingencies</t>
  </si>
  <si>
    <t>Environmental Liabilities</t>
  </si>
  <si>
    <t>Other</t>
  </si>
  <si>
    <t>Financials</t>
  </si>
  <si>
    <t>Fiscal Year</t>
  </si>
  <si>
    <t>YoY Growth</t>
  </si>
  <si>
    <t>Adjusted Net Profit</t>
  </si>
  <si>
    <t>Margin</t>
  </si>
  <si>
    <t>Reinvestment</t>
  </si>
  <si>
    <t>FCFE</t>
  </si>
  <si>
    <t>Adjusted Equity</t>
  </si>
  <si>
    <t>Return on Equity (ROE)</t>
  </si>
  <si>
    <t>Sales to Equity Ratio</t>
  </si>
  <si>
    <t>Segments</t>
  </si>
  <si>
    <t>Geographic segments</t>
  </si>
  <si>
    <t>Segment</t>
  </si>
  <si>
    <t>FY2025</t>
  </si>
  <si>
    <t>FY2024</t>
  </si>
  <si>
    <t>FY2023</t>
  </si>
  <si>
    <t>China</t>
  </si>
  <si>
    <t>Total</t>
  </si>
  <si>
    <t>Operating segments</t>
  </si>
  <si>
    <t>Cloud Services</t>
  </si>
  <si>
    <t>Customer Management Services</t>
  </si>
  <si>
    <t>Logistics Services</t>
  </si>
  <si>
    <t>Membership &amp; Value-Added Services</t>
  </si>
  <si>
    <t>Product and Service, Other</t>
  </si>
  <si>
    <t>Sales Of Goods</t>
  </si>
  <si>
    <t>Multiples</t>
  </si>
  <si>
    <t>Metric</t>
  </si>
  <si>
    <t>Company multiple</t>
  </si>
  <si>
    <t>Percentile of industry multiples</t>
  </si>
  <si>
    <t>Price-to-sales</t>
  </si>
  <si>
    <t>2.3x</t>
  </si>
  <si>
    <t>34th</t>
  </si>
  <si>
    <t>Price-to-earnings</t>
  </si>
  <si>
    <t>16.0x</t>
  </si>
  <si>
    <t>26th</t>
  </si>
  <si>
    <t>Price-to-book</t>
  </si>
  <si>
    <t>2.7x</t>
  </si>
  <si>
    <t>32th</t>
  </si>
  <si>
    <t>Values show the company's implied share price if it traded at the peer multiple for the listed percentile.</t>
  </si>
  <si>
    <t>Implied prices</t>
  </si>
  <si>
    <t>P10</t>
  </si>
  <si>
    <t>P25</t>
  </si>
  <si>
    <t>P50</t>
  </si>
  <si>
    <t>P75</t>
  </si>
  <si>
    <t>P90</t>
  </si>
  <si>
    <t>Cost of equity</t>
  </si>
  <si>
    <t>Risk-free rate calculation</t>
  </si>
  <si>
    <t>Ten-year bond yield</t>
  </si>
  <si>
    <t>Bond yield country</t>
  </si>
  <si>
    <t>Default spread</t>
  </si>
  <si>
    <t>Risk-free rate</t>
  </si>
  <si>
    <t>Beta calculation</t>
  </si>
  <si>
    <t>Sales</t>
  </si>
  <si>
    <t>EV/Sales</t>
  </si>
  <si>
    <t>Weight</t>
  </si>
  <si>
    <t>Business beta</t>
  </si>
  <si>
    <t>Membership Fees and Value Added Services</t>
  </si>
  <si>
    <t>Debt-to-equity ratio</t>
  </si>
  <si>
    <t>Marginal tax rate</t>
  </si>
  <si>
    <t>Equity beta</t>
  </si>
  <si>
    <t>Debt valuation inputs</t>
  </si>
  <si>
    <t>Book value of debt</t>
  </si>
  <si>
    <t>Sovereign spread</t>
  </si>
  <si>
    <t>Country used</t>
  </si>
  <si>
    <t>Rating used</t>
  </si>
  <si>
    <t>Corporate spread</t>
  </si>
  <si>
    <t>Interest expense used</t>
  </si>
  <si>
    <t>Coverage ratio</t>
  </si>
  <si>
    <t>9.78x</t>
  </si>
  <si>
    <t>Synthetic credit rating</t>
  </si>
  <si>
    <t>Aaa/AAA (synthetic)</t>
  </si>
  <si>
    <t>Pre-tax cost of debt</t>
  </si>
  <si>
    <t>Average debt maturity (years)</t>
  </si>
  <si>
    <t>Market value of debts, estimate</t>
  </si>
  <si>
    <t>Beta selection notes</t>
  </si>
  <si>
    <t>Specialty Retail (50th percentile of the industry)</t>
  </si>
  <si>
    <t>Sales of goods include a broad mix of discretionary and more everyday categories, so demand cyclicality is not clearly extreme either way. Retailing also has some variable cost benefits alongside fulfilment and platform fixed costs, supporting a middle-of-the-range beta.</t>
  </si>
  <si>
    <t>Entertainment (70th percentile of the industry)</t>
  </si>
  <si>
    <t>Entertainment revenues are discretionary and can be volatile with changes in consumer sentiment and intense competition for attention. Content and platform costs create operating leverage, so a higher beta within the peer range is appropriate.</t>
  </si>
  <si>
    <t>Specialty Business Services (40th percentile of the industry)</t>
  </si>
  <si>
    <t>Membership fees and related value-added services are relatively sticky because customers pay for ongoing access and tools rather than one-off discretionary purchases. The cost base is more service-led and less capital intensive, so risk sits slightly below the industry average.</t>
  </si>
  <si>
    <t>Integrated Freight &amp; Logistics (50th percentile of the industry)</t>
  </si>
  <si>
    <t>Logistics demand is linked to trade volumes and consumer activity, but a large part of the cost base can move with volumes through outsourcing and per-parcel costs. With mixed cyclicality and cost flexibility, the middle of the industry distribution is the best fit.</t>
  </si>
  <si>
    <t>Software - Application (60th percentile of the industry)</t>
  </si>
  <si>
    <t>Customer management services are largely advertising and performance marketing, which are discretionary and usually cut back when merchants become cautious. The platform has meaningful operating leverage in technology and sales spend, so risk is moderately above the middle of the industry range.</t>
  </si>
  <si>
    <t>Software - Infrastructure (70th percentile of the industry)</t>
  </si>
  <si>
    <t>Cloud infrastructure is exposed to business IT spending, which can slow in downturns, and it tends to have a high fixed cost base in data centres and engineering. This makes earnings more sensitive to revenue swings than a typical infrastructure software peer, so a higher-than-median beta is suitable.</t>
  </si>
  <si>
    <t>Equity risk premium (ERP) calculation</t>
  </si>
  <si>
    <t>Country</t>
  </si>
  <si>
    <t>ERP</t>
  </si>
  <si>
    <t>Tax rate</t>
  </si>
  <si>
    <t>Company equity risk premium</t>
  </si>
  <si>
    <t>Cost of equity calculation</t>
  </si>
  <si>
    <t>Plus: Equity beta × Equity risk premium</t>
  </si>
  <si>
    <t>Equity risk premium</t>
  </si>
  <si>
    <t>Stable cost of equity calculation</t>
  </si>
  <si>
    <t>Plus: Stable beta (clamped) × Equity risk premium</t>
  </si>
  <si>
    <t>Stable beta (clamped)</t>
  </si>
  <si>
    <t>Stable cost of equity</t>
  </si>
  <si>
    <t>Scenarios</t>
  </si>
  <si>
    <t>Case</t>
  </si>
  <si>
    <t>Per Share</t>
  </si>
  <si>
    <t>Upside %</t>
  </si>
  <si>
    <t>base</t>
  </si>
  <si>
    <t>bear</t>
  </si>
  <si>
    <t>bull</t>
  </si>
  <si>
    <t>Bull-case scenario</t>
  </si>
  <si>
    <t>Value per share</t>
  </si>
  <si>
    <t>Alibaba sits in late growth moving towards maturity, but it finds a new upcycle from AI and cloud. I assume AI-led cloud services scale faster than the market expects, helped by an open-source model ecosystem that pulls in developers and enterprise demand. I assume China commerce stabilises and lifts monetisation through higher take rates, membership, and better advertising tools, while quick commerce becomes a repeatable growth driver rather than a margin drag. I assume international commerce reaches durable profitability and adds a second geographic engine, which supports higher growth and stronger long-run returns without breaking realism for a firm of this size.</t>
  </si>
  <si>
    <t>Value driver</t>
  </si>
  <si>
    <t>I treat this as a bull case where Alibaba executes its two-engine plan and AI plus Cloud becomes a true second growth curve, while international commerce stays strong. The analyst revenue path implies roughly high single-digit to low double-digit growth over the medium term, so a ~10% rate is plausible as a five-year CAGR when I set Y=10, before growth tapers with scale.</t>
  </si>
  <si>
    <t>I keep terminal growth at the risk-free rate ceiling to meet the hard constraint. Even in a bull case, Alibaba is a very large platform, so long-run growth should track nominal economy-like growth in CNY rather than stay elevated.</t>
  </si>
  <si>
    <t>I keep a 10-year glide path because Alibaba still has room to compound through cloud, AI services, and cross-border, but the China commerce base is too large to justify a very long high-growth phase. With Y=10, the initial growth rate must work as a five-year CAGR, and this matches the medium-term analyst revenue ramp from about RMB1.0T toward roughly RMB1.4T.</t>
  </si>
  <si>
    <t>I assume better capital efficiency than base case because portfolio simplification and improving cloud unit economics let Alibaba grow revenue without matching equity-funded investment in every segment. The ratio still stays near the low end of the industry range because data centres, logistics, and quick commerce remain capital and incentive heavy in a bull case.</t>
  </si>
  <si>
    <t>I push the stable margin above the base case because mix shifts towards higher-margin cloud and customer management tools, and international commerce reaches more consistent profitability. This stays realistic versus Alibaba’s own history by sitting well below the unusual peak margin year, and it sits around the upper quartiles of the industry distribution rather than the extreme top decile.</t>
  </si>
  <si>
    <t>I set FY+1 margin above the base case because the bull case assumes faster payback from quick commerce and better take-rate and advertising yield, so the extra spending converts into profit sooner. I still keep it below the latest adjusted margin because management also signals heavy AI and cloud infrastructure investment, which can hold back near-term profit conversion even when revenue accelerates.</t>
  </si>
  <si>
    <t>I assume faster margin convergence than base case because cloud scale and international profitability arrive earlier, and cost control reduces the drag from elevated sales and marketing spend. I still allow several years because AI and cloud investment remains front-loaded and competition keeps pressure on commerce incentives.</t>
  </si>
  <si>
    <t>I set stable ROE meaningfully above the stable cost of equity because the bull case assumes Alibaba sustains platform pricing power and monetises AI and cloud at scale. The level sits near the industry median-to-upper range and below Alibaba’s strongest historical ROE, which keeps the upside plausible rather than heroic.</t>
  </si>
  <si>
    <t>A2/A</t>
  </si>
  <si>
    <t>I notch the rating up because the bull case implies stronger and more stable cash generation, while Alibaba keeps very large liquidity and manageable leverage even with continued infrastructure spend. The PRC regulatory and VIE risks do not disappear, so I do not move it into the very top rating bands.</t>
  </si>
  <si>
    <t>I assume a slightly higher recovery than base case because stronger, more diversified earnings and a larger pool of monetisable assets improve creditor outcomes in stress. I keep it well below a very high recovery because regulatory and structural risks can still reduce realised value in a default.</t>
  </si>
  <si>
    <t>Bear-case scenario</t>
  </si>
  <si>
    <t>Assume Alibaba moves from late growth into a more mature and risk-constrained phase. Competition in China e-commerce stays intense and forces higher user subsidies and marketing, which limits take-rate gains and slows core growth. Cloud and AI still grow, but monetisation lags because export controls, price pressure, and heavy infrastructure build-out cap operating leverage. International commerce grows but faces higher compliance costs and weaker unit economics, so it adds revenue without delivering the expected margin relief.</t>
  </si>
  <si>
    <t>Assume China commerce stays weak and price-led rivals keep share pressure high, so group growth tracks closer to low single digits than to Alibaba’s recent mid-single digit pace. Analysts still imply a mid-single digit revenue path over the next few years, but in this bear case I haircut that path to reflect slower cloud uptake and slower international scaling. With Y=10, this rate reads as a plausible five-year CAGR for a large, maturing platform that loses momentum rather than collapsing.</t>
  </si>
  <si>
    <t>Keep terminal growth below the CNY risk-free rate to meet the hard constraint. In a bear case, Alibaba looks like a very large, policy-exposed platform that grows below the wider nominal economy once the AI and international options fade. This makes a small positive terminal rate more probable than a higher risk-free-like rate.</t>
  </si>
  <si>
    <t>Treat Alibaba as late growth moving into maturity, but with risks that delay any second S-curve benefits. A 10-year glide path still fits the scale of the business and the fact that consensus expects continued growth, even if the bear case undershoots it. With Y=10, the initial growth assumption must work as a five-year rate, which low single digits can support.</t>
  </si>
  <si>
    <t>Assume Alibaba must fund heavy cloud data centre build-out and quick-commerce logistics while revenue growth slows, so capital efficiency worsens. History already shows the ratio can sit near this level, and the industry median is far higher, so this remains plausible for an asset-heavier, investment-led bear case. Lower efficiency also matches a scenario where management keeps spending to defend share.</t>
  </si>
  <si>
    <t>Assume competition and compliance costs keep take rates and advertising yields under pressure, while cloud margins take longer to scale. The adjusted margin has been volatile and the wider sector median sits below Alibaba’s recent level, so a stable margin closer to low double digits looks plausible if the moat weakens. This stays above a distressed outcome because the core marketplace still throws off cash and Alibaba has scale.</t>
  </si>
  <si>
    <t>Assume investment intensity stays high in cloud infrastructure and user incentives, like the interim report signals through the sharp fall in operating profit despite revenue growth. Analysts show net income improving over the next few years, but their figures expense intangible spend, so I set FY+1 lower on an adjusted basis to reflect continued capitalised spending and weaker operating leverage. This level also sits near the weaker recent adjusted year, which makes it plausible in a risk-off year.</t>
  </si>
  <si>
    <t>Assume slower operating leverage because Alibaba keeps spending to defend domestic share and to build AI cloud capacity before monetisation catches up. The interim report shows costs can surge quickly, so margins may take longer to normalise even if revenue keeps growing. An eight-year path stays within the 10-year growth phase and fits a gradual, not rapid, recovery story.</t>
  </si>
  <si>
    <t>Assume returns fade as competition forces higher reinvestment and lowers steady margins, so ROE moves towards the lower half of the industry range. Keep it above the stable cost of equity to avoid implying permanent value destruction, since Alibaba still has scale, data, and a large cash engine. This is clearly below its stronger historical ROE and below the base case, which matches the bear narrative.</t>
  </si>
  <si>
    <t>Baa1/BBB+</t>
  </si>
  <si>
    <t>Assume weaker profit conversion and higher capex raise leverage pressure, even though Alibaba keeps a large liquidity buffer. Convertibles and ongoing funding needs for cloud and international expansion increase business and financial risk versus the base case. The firm still looks investment grade because of size and cash generation, but I step it down into the BBB range to reflect the downside scenario.</t>
  </si>
  <si>
    <t>Assume a tougher default environment with lower realisable value from intangible-heavy assets and higher uncertainty from policy and cross-border constraints. Alibaba still holds meaningful cash and financial assets, which supports some recovery, but I cut the ratio versus base to reflect higher structural risk. This aligns with a bear case where creditors face more friction in enforcement and asset sales.</t>
  </si>
  <si>
    <t>Sensitivity</t>
  </si>
  <si>
    <t xml:space="preserve">Stable growth rate →
↓ Cost of equity</t>
  </si>
  <si>
    <t>Note: Green cells indicate scenarios where the calculated intrinsic value per share is above the current market price, suggesting potential undervaluation. Red cells indicate scenarios where the intrinsic value is below the market price, suggesting potential overvaluation.</t>
  </si>
  <si>
    <t>Reverse DCF</t>
  </si>
  <si>
    <t>Driver</t>
  </si>
  <si>
    <t>Base Value</t>
  </si>
  <si>
    <t>Market Implied</t>
  </si>
  <si>
    <t>Difference</t>
  </si>
  <si>
    <t>Monte-Carlo simulation percentile distribution</t>
  </si>
  <si>
    <t>Percentile</t>
  </si>
  <si>
    <t>Price</t>
  </si>
  <si>
    <t>P0</t>
  </si>
  <si>
    <t>P5</t>
  </si>
  <si>
    <t>P15</t>
  </si>
  <si>
    <t>P20</t>
  </si>
  <si>
    <t>P30</t>
  </si>
  <si>
    <t>P35</t>
  </si>
  <si>
    <t>P40</t>
  </si>
  <si>
    <t>P45</t>
  </si>
  <si>
    <t>P55</t>
  </si>
  <si>
    <t>P60</t>
  </si>
  <si>
    <t>P65</t>
  </si>
  <si>
    <t>P70</t>
  </si>
  <si>
    <t>P80</t>
  </si>
  <si>
    <t>P85</t>
  </si>
  <si>
    <t>P95</t>
  </si>
  <si>
    <t>P100</t>
  </si>
  <si>
    <t>The Monte Carlo distribution maps simulated prices to percentiles. Recommendations follow these: below the 10th is a Strong Buy, below the 25th a Buy, the 25th–75th a Hold, the 75th–90th a Sell, and anything higher a Strong Sell. Green shading indicates buy zones, gray indicates hold, and red indicates sell zones.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</si>
</sst>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quot;Rmb&quot;#,##0.00"/>
    <numFmt numFmtId="165" formatCode="0.0%"/>
    <numFmt numFmtId="166" formatCode="yyyy-mm-dd"/>
    <numFmt numFmtId="167" formatCode="#,##0.0"/>
    <numFmt numFmtId="168" formatCode="0.0"/>
    <numFmt numFmtId="169" formatCode="0.000"/>
    <numFmt numFmtId="170" formatCode="&quot;Rmb&quot;#,##0"/>
    <numFmt numFmtId="171" formatCode="#0.0"/>
  </numFmts>
  <fonts count="19" x14ac:knownFonts="1">
    <font>
      <color theme="1"/>
      <family val="2"/>
      <scheme val="minor"/>
      <sz val="11"/>
      <name val="Calibri"/>
    </font>
    <font>
      <b/>
      <color rgb="FF0284c7"/>
      <sz val="32"/>
    </font>
    <font>
      <b/>
      <color rgb="FF111827"/>
      <sz val="26"/>
    </font>
    <font>
      <color rgb="FF111827"/>
      <sz val="12"/>
    </font>
    <font>
      <u/>
      <color rgb="FF0284c7"/>
      <sz val="12"/>
    </font>
    <font>
      <color rgb="FF111827"/>
      <sz val="10"/>
    </font>
    <font>
      <b/>
      <color rgb="FFFFFFFF"/>
      <sz val="26"/>
    </font>
    <font>
      <sz val="12"/>
    </font>
    <font>
      <color rgb="FF1F4E79"/>
      <sz val="12"/>
    </font>
    <font>
      <b/>
      <u/>
    </font>
    <font>
      <b/>
      <u/>
      <sz val="12"/>
    </font>
    <font>
      <b/>
      <sz val="12"/>
    </font>
    <font>
      <b/>
      <color rgb="FF000000"/>
      <sz val="12"/>
    </font>
    <font>
      <color rgb="FF000000"/>
      <sz val="12"/>
    </font>
    <font>
      <b/>
    </font>
    <font>
      <b/>
      <color rgb="FF1F4E79"/>
      <sz val="12"/>
    </font>
    <font>
      <i/>
    </font>
    <font>
      <i/>
      <sz val="12"/>
    </font>
    <font>
      <sz val="10"/>
    </font>
  </fonts>
  <fills count="12">
    <fill>
      <patternFill patternType="none"/>
    </fill>
    <fill>
      <patternFill patternType="gray125"/>
    </fill>
    <fill>
      <patternFill patternType="solid">
        <fgColor rgb="FF0284c7"/>
      </patternFill>
    </fill>
    <fill>
      <patternFill patternType="solid">
        <fgColor rgb="FFFFFDE6"/>
      </patternFill>
    </fill>
    <fill>
      <patternFill patternType="solid">
        <fgColor rgb="FFFCE5CD"/>
      </patternFill>
    </fill>
    <fill>
      <patternFill patternType="solid">
        <fgColor rgb="FFE6F9E6"/>
      </patternFill>
    </fill>
    <fill>
      <patternFill patternType="solid">
        <fgColor rgb="FFFFE6E6"/>
      </patternFill>
    </fill>
    <fill>
      <patternFill patternType="solid">
        <fgColor rgb="FF198754"/>
      </patternFill>
    </fill>
    <fill>
      <patternFill patternType="solid">
        <fgColor rgb="FFD1E7DD"/>
      </patternFill>
    </fill>
    <fill>
      <patternFill patternType="solid">
        <fgColor rgb="FFE5E7EB"/>
      </patternFill>
    </fill>
    <fill>
      <patternFill patternType="solid">
        <fgColor rgb="FFF8D7DA"/>
      </patternFill>
    </fill>
    <fill>
      <patternFill patternType="solid">
        <fgColor rgb="FFDC3545"/>
      </patternFill>
    </fill>
  </fills>
  <borders count="5">
    <border>
      <left/>
      <right/>
      <top/>
      <bottom/>
      <diagonal/>
    </border>
    <border>
      <left/>
      <right/>
      <top/>
      <bottom style="thin">
        <color rgb="FF0284c7"/>
      </bottom>
      <diagonal/>
    </border>
    <border>
      <left style="thin">
        <color rgb="FF000000"/>
      </left>
      <right style="thin">
        <color rgb="FF000000"/>
      </right>
      <top style="thin">
        <color rgb="FF000000"/>
      </top>
      <bottom style="thin">
        <color rgb="FF000000"/>
      </bottom>
      <diagonal/>
    </border>
    <border>
      <left/>
      <right/>
      <top/>
      <bottom style="thin"/>
      <diagonal/>
    </border>
    <border>
      <left/>
      <right style="thin"/>
      <top/>
      <bottom/>
      <diagonal/>
    </border>
  </borders>
  <cellStyleXfs count="1">
    <xf numFmtId="0" fontId="0" fillId="0" borderId="0"/>
  </cellStyleXfs>
  <cellXfs count="78">
    <xf numFmtId="0" fontId="0" fillId="0" borderId="0" xfId="0"/>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0" fillId="0" borderId="0" xfId="0" applyAlignment="1">
      <alignment horizontal="left"/>
    </xf>
    <xf numFmtId="0" fontId="0" fillId="0" borderId="0" xfId="0" applyAlignment="1">
      <alignment horizontal="right"/>
    </xf>
    <xf numFmtId="0" fontId="6" fillId="2" borderId="1" xfId="0" applyFont="1" applyFill="1" applyBorder="1" applyAlignment="1">
      <alignment horizontal="left" vertical="center"/>
    </xf>
    <xf numFmtId="0" fontId="6" fillId="2" borderId="1" xfId="0" applyFont="1" applyFill="1" applyBorder="1" applyAlignment="1">
      <alignment horizontal="left"/>
    </xf>
    <xf numFmtId="0" fontId="6" fillId="2" borderId="1" xfId="0" applyFont="1" applyFill="1" applyBorder="1" applyAlignment="1">
      <alignment horizontal="right"/>
    </xf>
    <xf numFmtId="0" fontId="7" fillId="0" borderId="0" xfId="0" applyFont="1" applyAlignment="1">
      <alignment horizontal="left"/>
    </xf>
    <xf numFmtId="0" fontId="7" fillId="0" borderId="0" xfId="0" applyFont="1" applyAlignment="1">
      <alignment horizontal="right"/>
    </xf>
    <xf numFmtId="164" fontId="8" fillId="0" borderId="0" xfId="0" applyNumberFormat="1" applyFont="1" applyAlignment="1">
      <alignment horizontal="right"/>
    </xf>
    <xf numFmtId="165" fontId="8" fillId="0" borderId="0" xfId="0" applyNumberFormat="1" applyFont="1" applyAlignment="1">
      <alignment horizontal="right"/>
    </xf>
    <xf numFmtId="166" fontId="7" fillId="0" borderId="0" xfId="0" applyNumberFormat="1" applyFont="1" applyAlignment="1">
      <alignment horizontal="right"/>
    </xf>
    <xf numFmtId="167" fontId="8" fillId="0" borderId="0" xfId="0" applyNumberFormat="1" applyFont="1" applyAlignment="1">
      <alignment horizontal="right"/>
    </xf>
    <xf numFmtId="0" fontId="9" fillId="0" borderId="0" xfId="0" applyFont="1"/>
    <xf numFmtId="0" fontId="10" fillId="0" borderId="0" xfId="0" applyFont="1" applyAlignment="1">
      <alignment horizontal="left"/>
    </xf>
    <xf numFmtId="165" fontId="8" fillId="3" borderId="2" xfId="0" applyNumberFormat="1" applyFont="1" applyFill="1" applyBorder="1" applyAlignment="1">
      <alignment horizontal="right"/>
    </xf>
    <xf numFmtId="167" fontId="8" fillId="3" borderId="2" xfId="0" applyNumberFormat="1" applyFont="1" applyFill="1" applyBorder="1" applyAlignment="1">
      <alignment horizontal="right"/>
    </xf>
    <xf numFmtId="0" fontId="11" fillId="0" borderId="3" xfId="0" applyFont="1" applyBorder="1" applyAlignment="1">
      <alignment horizontal="left"/>
    </xf>
    <xf numFmtId="0" fontId="11" fillId="0" borderId="3" xfId="0" applyFont="1" applyBorder="1" applyAlignment="1">
      <alignment horizontal="right"/>
    </xf>
    <xf numFmtId="0" fontId="12" fillId="0" borderId="3" xfId="0" applyFont="1" applyBorder="1" applyAlignment="1">
      <alignment horizontal="right"/>
    </xf>
    <xf numFmtId="3" fontId="13" fillId="0" borderId="0" xfId="0" applyNumberFormat="1" applyFont="1" applyAlignment="1">
      <alignment horizontal="right"/>
    </xf>
    <xf numFmtId="165" fontId="13" fillId="0" borderId="0" xfId="0" applyNumberFormat="1" applyFont="1" applyAlignment="1">
      <alignment horizontal="right"/>
    </xf>
    <xf numFmtId="168" fontId="13" fillId="0" borderId="0" xfId="0" applyNumberFormat="1" applyFont="1" applyAlignment="1">
      <alignment horizontal="right"/>
    </xf>
    <xf numFmtId="169" fontId="13" fillId="0" borderId="0" xfId="0" applyNumberFormat="1" applyFont="1" applyAlignment="1">
      <alignment horizontal="right"/>
    </xf>
    <xf numFmtId="3" fontId="8" fillId="0" borderId="0" xfId="0" applyNumberFormat="1" applyFont="1" applyAlignment="1">
      <alignment horizontal="right"/>
    </xf>
    <xf numFmtId="167" fontId="13" fillId="0" borderId="0" xfId="0" applyNumberFormat="1" applyFont="1" applyAlignment="1">
      <alignment horizontal="right"/>
    </xf>
    <xf numFmtId="164" fontId="13" fillId="4" borderId="0" xfId="0" applyNumberFormat="1" applyFont="1" applyFill="1" applyAlignment="1">
      <alignment horizontal="right"/>
    </xf>
    <xf numFmtId="0" fontId="10" fillId="0" borderId="0" xfId="0" applyFont="1" applyAlignment="1">
      <alignment horizontal="right"/>
    </xf>
    <xf numFmtId="0" fontId="14" fillId="0" borderId="0" xfId="0" applyFont="1"/>
    <xf numFmtId="3" fontId="8" fillId="0" borderId="0" xfId="0" applyNumberFormat="1" applyFont="1" applyAlignment="1">
      <alignment horizontal="left"/>
    </xf>
    <xf numFmtId="1" fontId="8" fillId="0" borderId="0" xfId="0" applyNumberFormat="1" applyFont="1" applyAlignment="1">
      <alignment horizontal="left"/>
    </xf>
    <xf numFmtId="164" fontId="7" fillId="0" borderId="0" xfId="0" applyNumberFormat="1" applyFont="1" applyAlignment="1">
      <alignment horizontal="right"/>
    </xf>
    <xf numFmtId="0" fontId="11" fillId="0" borderId="0" xfId="0" applyFont="1" applyAlignment="1">
      <alignment horizontal="right"/>
    </xf>
    <xf numFmtId="1" fontId="15" fillId="0" borderId="3" xfId="0" applyNumberFormat="1" applyFont="1" applyBorder="1" applyAlignment="1">
      <alignment horizontal="right"/>
    </xf>
    <xf numFmtId="165" fontId="0" fillId="0" borderId="0" xfId="0" applyNumberFormat="1" applyAlignment="1">
      <alignment horizontal="right"/>
    </xf>
    <xf numFmtId="165" fontId="6" fillId="2" borderId="1" xfId="0" applyNumberFormat="1" applyFont="1" applyFill="1" applyBorder="1" applyAlignment="1">
      <alignment horizontal="right"/>
    </xf>
    <xf numFmtId="165" fontId="7" fillId="0" borderId="0" xfId="0" applyNumberFormat="1" applyFont="1" applyAlignment="1">
      <alignment horizontal="right"/>
    </xf>
    <xf numFmtId="165" fontId="11" fillId="0" borderId="3" xfId="0" applyNumberFormat="1" applyFont="1" applyBorder="1" applyAlignment="1">
      <alignment horizontal="right"/>
    </xf>
    <xf numFmtId="0" fontId="11" fillId="0" borderId="0" xfId="0" applyFont="1" applyAlignment="1">
      <alignment horizontal="left"/>
    </xf>
    <xf numFmtId="0" fontId="16" fillId="0" borderId="0" xfId="0" applyFont="1"/>
    <xf numFmtId="0" fontId="17" fillId="0" borderId="0" xfId="0" applyFont="1" applyAlignment="1">
      <alignment horizontal="right"/>
    </xf>
    <xf numFmtId="170" fontId="8" fillId="0" borderId="0" xfId="0" applyNumberFormat="1" applyFont="1" applyAlignment="1">
      <alignment horizontal="right"/>
    </xf>
    <xf numFmtId="171" fontId="13" fillId="0" borderId="0" xfId="0" applyNumberFormat="1" applyFont="1" applyAlignment="1">
      <alignment horizontal="right"/>
    </xf>
    <xf numFmtId="0" fontId="8" fillId="3" borderId="2" xfId="0" applyFont="1" applyFill="1" applyBorder="1" applyAlignment="1">
      <alignment horizontal="right"/>
    </xf>
    <xf numFmtId="164" fontId="0" fillId="0" borderId="0" xfId="0" applyNumberFormat="1" applyAlignment="1">
      <alignment horizontal="right"/>
    </xf>
    <xf numFmtId="165" fontId="0" fillId="0" borderId="0" xfId="0" applyNumberFormat="1" applyAlignment="1">
      <alignment horizontal="left"/>
    </xf>
    <xf numFmtId="164" fontId="6" fillId="2" borderId="1" xfId="0" applyNumberFormat="1" applyFont="1" applyFill="1" applyBorder="1" applyAlignment="1">
      <alignment horizontal="right"/>
    </xf>
    <xf numFmtId="165" fontId="6" fillId="2" borderId="1" xfId="0" applyNumberFormat="1" applyFont="1" applyFill="1" applyBorder="1" applyAlignment="1">
      <alignment horizontal="left"/>
    </xf>
    <xf numFmtId="165" fontId="7" fillId="0" borderId="0" xfId="0" applyNumberFormat="1" applyFont="1" applyAlignment="1">
      <alignment horizontal="left"/>
    </xf>
    <xf numFmtId="164" fontId="11" fillId="0" borderId="3" xfId="0" applyNumberFormat="1" applyFont="1" applyBorder="1" applyAlignment="1">
      <alignment horizontal="right"/>
    </xf>
    <xf numFmtId="165" fontId="11" fillId="0" borderId="3" xfId="0" applyNumberFormat="1" applyFont="1" applyBorder="1" applyAlignment="1">
      <alignment horizontal="left"/>
    </xf>
    <xf numFmtId="165" fontId="8" fillId="0" borderId="0" xfId="0" applyNumberFormat="1" applyFont="1" applyAlignment="1">
      <alignment horizontal="left"/>
    </xf>
    <xf numFmtId="164" fontId="10" fillId="0" borderId="0" xfId="0" applyNumberFormat="1" applyFont="1" applyAlignment="1">
      <alignment horizontal="right"/>
    </xf>
    <xf numFmtId="165" fontId="10" fillId="0" borderId="0" xfId="0" applyNumberFormat="1" applyFont="1" applyAlignment="1">
      <alignment horizontal="left"/>
    </xf>
    <xf numFmtId="10" fontId="11" fillId="0" borderId="3" xfId="0" applyNumberFormat="1" applyFont="1" applyBorder="1" applyAlignment="1">
      <alignment horizontal="right"/>
    </xf>
    <xf numFmtId="165" fontId="11" fillId="0" borderId="4" xfId="0" applyNumberFormat="1" applyFont="1" applyBorder="1" applyAlignment="1">
      <alignment horizontal="left"/>
    </xf>
    <xf numFmtId="164" fontId="7" fillId="5" borderId="0" xfId="0" applyNumberFormat="1" applyFont="1" applyFill="1" applyAlignment="1">
      <alignment horizontal="right"/>
    </xf>
    <xf numFmtId="164" fontId="7" fillId="6" borderId="0" xfId="0" applyNumberFormat="1" applyFont="1" applyFill="1" applyAlignment="1">
      <alignment horizontal="right"/>
    </xf>
    <xf numFmtId="0" fontId="5" fillId="0" borderId="0" xfId="0" applyFont="1"/>
    <xf numFmtId="0" fontId="5" fillId="0" borderId="0" xfId="0" applyFont="1" applyAlignment="1">
      <alignment horizontal="left"/>
    </xf>
    <xf numFmtId="0" fontId="5" fillId="0" borderId="0" xfId="0" applyFont="1" applyAlignment="1">
      <alignment horizontal="right"/>
    </xf>
    <xf numFmtId="167" fontId="0" fillId="0" borderId="0" xfId="0" applyNumberFormat="1" applyAlignment="1">
      <alignment horizontal="right"/>
    </xf>
    <xf numFmtId="167" fontId="6" fillId="2" borderId="1" xfId="0" applyNumberFormat="1" applyFont="1" applyFill="1" applyBorder="1" applyAlignment="1">
      <alignment horizontal="right"/>
    </xf>
    <xf numFmtId="167" fontId="7" fillId="0" borderId="0" xfId="0" applyNumberFormat="1" applyFont="1" applyAlignment="1">
      <alignment horizontal="right"/>
    </xf>
    <xf numFmtId="167" fontId="11" fillId="0" borderId="3" xfId="0" applyNumberFormat="1" applyFont="1" applyBorder="1" applyAlignment="1">
      <alignment horizontal="right"/>
    </xf>
    <xf numFmtId="168" fontId="8" fillId="0" borderId="0" xfId="0" applyNumberFormat="1" applyFont="1" applyAlignment="1">
      <alignment horizontal="right"/>
    </xf>
    <xf numFmtId="167" fontId="10" fillId="0" borderId="0" xfId="0" applyNumberFormat="1" applyFont="1" applyAlignment="1">
      <alignment horizontal="right"/>
    </xf>
    <xf numFmtId="167" fontId="11" fillId="0" borderId="0" xfId="0" applyNumberFormat="1" applyFont="1" applyAlignment="1">
      <alignment horizontal="right"/>
    </xf>
    <xf numFmtId="164" fontId="7" fillId="7" borderId="0" xfId="0" applyNumberFormat="1" applyFont="1" applyFill="1" applyAlignment="1">
      <alignment horizontal="right"/>
    </xf>
    <xf numFmtId="164" fontId="7" fillId="8" borderId="0" xfId="0" applyNumberFormat="1" applyFont="1" applyFill="1" applyAlignment="1">
      <alignment horizontal="right"/>
    </xf>
    <xf numFmtId="164" fontId="7" fillId="9" borderId="0" xfId="0" applyNumberFormat="1" applyFont="1" applyFill="1" applyAlignment="1">
      <alignment horizontal="right"/>
    </xf>
    <xf numFmtId="164" fontId="7" fillId="10" borderId="0" xfId="0" applyNumberFormat="1" applyFont="1" applyFill="1" applyAlignment="1">
      <alignment horizontal="right"/>
    </xf>
    <xf numFmtId="164" fontId="7" fillId="11" borderId="0" xfId="0" applyNumberFormat="1" applyFont="1" applyFill="1" applyAlignment="1">
      <alignment horizontal="right"/>
    </xf>
    <xf numFmtId="0" fontId="18"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localhost:5173/analysis/db536474-2b58-4561-9096-7a3e96c30026/results" TargetMode="External"/><Relationship Id="rId2" Type="http://schemas.openxmlformats.org/officeDocument/2006/relationships/hyperlink" Target="http://localhost:5173" TargetMode="External"/></Relationships>
</file>

<file path=xl/worksheets/_rels/sheet10.xml.rels><?xml version="1.0" encoding="UTF-8" standalone="yes"?>
<Relationships xmlns="http://schemas.openxmlformats.org/package/2006/relationships"><Relationship Id="rId1" Type="http://schemas.openxmlformats.org/officeDocument/2006/relationships/image" Target="../media/image1.png"/></Relationships>
</file>

<file path=xl/worksheets/_rels/sheet11.xml.rels><?xml version="1.0" encoding="UTF-8" standalone="yes"?>
<Relationships xmlns="http://schemas.openxmlformats.org/package/2006/relationships"><Relationship Id="rId1" Type="http://schemas.openxmlformats.org/officeDocument/2006/relationships/image" Target="../media/image1.png"/></Relationships>
</file>

<file path=xl/worksheets/_rels/sheet12.xml.rels><?xml version="1.0" encoding="UTF-8" standalone="yes"?>
<Relationships xmlns="http://schemas.openxmlformats.org/package/2006/relationships"><Relationship Id="rId1" Type="http://schemas.openxmlformats.org/officeDocument/2006/relationships/image" Target="../media/image1.png"/></Relationships>
</file>

<file path=xl/worksheets/_rels/sheet2.xml.rels><?xml version="1.0" encoding="UTF-8" standalone="yes"?>
<Relationships xmlns="http://schemas.openxmlformats.org/package/2006/relationships"><Relationship Id="rId1" Type="http://schemas.openxmlformats.org/officeDocument/2006/relationships/image" Target="../media/image1.png"/></Relationships>
</file>

<file path=xl/worksheets/_rels/sheet3.xml.rels><?xml version="1.0" encoding="UTF-8" standalone="yes"?>
<Relationships xmlns="http://schemas.openxmlformats.org/package/2006/relationships"><Relationship Id="rId1" Type="http://schemas.openxmlformats.org/officeDocument/2006/relationships/image" Target="../media/image1.png"/></Relationships>
</file>

<file path=xl/worksheets/_rels/sheet4.xml.rels><?xml version="1.0" encoding="UTF-8" standalone="yes"?>
<Relationships xmlns="http://schemas.openxmlformats.org/package/2006/relationships"><Relationship Id="rId1" Type="http://schemas.openxmlformats.org/officeDocument/2006/relationships/image" Target="../media/image1.png"/></Relationships>
</file>

<file path=xl/worksheets/_rels/sheet5.xml.rels><?xml version="1.0" encoding="UTF-8" standalone="yes"?>
<Relationships xmlns="http://schemas.openxmlformats.org/package/2006/relationships"><Relationship Id="rId1" Type="http://schemas.openxmlformats.org/officeDocument/2006/relationships/image" Target="../media/image1.png"/></Relationships>
</file>

<file path=xl/worksheets/_rels/sheet6.xml.rels><?xml version="1.0" encoding="UTF-8" standalone="yes"?>
<Relationships xmlns="http://schemas.openxmlformats.org/package/2006/relationships"><Relationship Id="rId1" Type="http://schemas.openxmlformats.org/officeDocument/2006/relationships/image" Target="../media/image1.png"/></Relationships>
</file>

<file path=xl/worksheets/_rels/sheet7.xml.rels><?xml version="1.0" encoding="UTF-8" standalone="yes"?>
<Relationships xmlns="http://schemas.openxmlformats.org/package/2006/relationships"><Relationship Id="rId1" Type="http://schemas.openxmlformats.org/officeDocument/2006/relationships/image" Target="../media/image1.png"/></Relationships>
</file>

<file path=xl/worksheets/_rels/sheet8.xml.rels><?xml version="1.0" encoding="UTF-8" standalone="yes"?>
<Relationships xmlns="http://schemas.openxmlformats.org/package/2006/relationships"><Relationship Id="rId1" Type="http://schemas.openxmlformats.org/officeDocument/2006/relationships/image" Target="../media/image1.png"/></Relationships>
</file>

<file path=xl/worksheets/_rels/sheet9.xml.rels><?xml version="1.0" encoding="UTF-8" standalone="yes"?>
<Relationships xmlns="http://schemas.openxmlformats.org/package/2006/relationships"><Relationship Id="rId1"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owGridLines="0"/>
  </sheetViews>
  <sheetFormatPr defaultRowHeight="15" outlineLevelRow="0" outlineLevelCol="0" x14ac:dyDescent="55"/>
  <cols>
    <col min="1" max="2" width="50" customWidth="1"/>
  </cols>
  <sheetData>
    <row r="1" spans="1:2" x14ac:dyDescent="0.25">
      <c r="A1" s="1" t="s">
        <v>0</v>
      </c>
      <c r="B1" s="1"/>
    </row>
    <row r="2" spans="1:2" x14ac:dyDescent="0.25">
      <c r="A2" s="2" t="s">
        <v>1</v>
      </c>
      <c r="B2" s="2"/>
    </row>
    <row r="3" spans="1:2" x14ac:dyDescent="0.25">
      <c r="A3" s="3" t="s">
        <v>2</v>
      </c>
      <c r="B3" s="3"/>
    </row>
    <row r="4" spans="1:2" x14ac:dyDescent="0.25">
      <c r="A4" s="3" t="s">
        <v>3</v>
      </c>
      <c r="B4" s="3"/>
    </row>
    <row r="5" spans="1:2" x14ac:dyDescent="0.25">
      <c r="A5" s="3" t="s">
        <v>4</v>
      </c>
      <c r="B5" s="3"/>
    </row>
    <row r="6" spans="1:2" x14ac:dyDescent="0.25">
      <c r="A6" s="3" t="s">
        <v>5</v>
      </c>
      <c r="B6" s="3"/>
    </row>
    <row r="7" spans="1:2" x14ac:dyDescent="0.25">
      <c r="A7" s="4" t="s">
        <v>6</v>
      </c>
      <c r="B7" s="4"/>
    </row>
    <row r="8" spans="1:2" x14ac:dyDescent="0.25">
      <c r="A8" s="4" t="s">
        <v>0</v>
      </c>
      <c r="B8" s="4"/>
    </row>
    <row r="9" spans="1:2" x14ac:dyDescent="0.25">
      <c r="A9" s="5" t="s">
        <v>7</v>
      </c>
      <c r="B9" s="5"/>
    </row>
    <row r="10" spans="1:2" x14ac:dyDescent="0.25">
      <c r="A10" s="5" t="s">
        <v>8</v>
      </c>
      <c r="B10" s="5"/>
    </row>
  </sheetData>
  <mergeCells count="10">
    <mergeCell ref="A1:B1"/>
    <mergeCell ref="A2:B2"/>
    <mergeCell ref="A3:B3"/>
    <mergeCell ref="A4:B4"/>
    <mergeCell ref="A5:B5"/>
    <mergeCell ref="A6:B6"/>
    <mergeCell ref="A7:B7"/>
    <mergeCell ref="A8:B8"/>
    <mergeCell ref="A9:B9"/>
    <mergeCell ref="A10:B10"/>
  </mergeCells>
  <hyperlinks>
    <hyperlink ref="A7" r:id="rId1"/>
    <hyperlink ref="A8" r:id="rId2"/>
  </hyperlinks>
  <pageMargins left="0.7" right="0.7" top="0.75" bottom="0.75" header="0.3" footer="0.3"/>
  <pageSetup orientation="portrait" horizontalDpi="4294967295" verticalDpi="4294967295" scale="100" fitToWidth="1" fitToHeigh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howGridLines="0"/>
  </sheetViews>
  <sheetFormatPr defaultRowHeight="15" outlineLevelRow="0" outlineLevelCol="0" x14ac:dyDescent="55"/>
  <cols>
    <col min="1" max="1" width="20" style="6" customWidth="1"/>
    <col min="2" max="2" width="15" style="48" customWidth="1"/>
    <col min="3" max="3" width="15" style="49" customWidth="1"/>
  </cols>
  <sheetData>
    <row r="1" spans="1:3" s="8" customFormat="1" x14ac:dyDescent="0.25">
      <c r="A1" s="9" t="s">
        <v>208</v>
      </c>
      <c r="B1" s="50"/>
      <c r="C1" s="51"/>
    </row>
    <row r="2" spans="1:3" x14ac:dyDescent="0.25">
      <c r="A2" s="11" t="s">
        <v>10</v>
      </c>
      <c r="B2" s="35"/>
      <c r="C2" s="52"/>
    </row>
    <row r="4" spans="1:3" s="32" customFormat="1" x14ac:dyDescent="0.25">
      <c r="A4" s="21" t="s">
        <v>209</v>
      </c>
      <c r="B4" s="53" t="s">
        <v>210</v>
      </c>
      <c r="C4" s="54" t="s">
        <v>211</v>
      </c>
    </row>
    <row r="5" spans="1:3" x14ac:dyDescent="0.25">
      <c r="A5" s="11" t="s">
        <v>212</v>
      </c>
      <c r="B5" s="13">
        <v>1245.356791489996</v>
      </c>
      <c r="C5" s="55">
        <v>0.2557704234419209</v>
      </c>
    </row>
    <row r="6" spans="1:3" x14ac:dyDescent="0.25">
      <c r="A6" s="11" t="s">
        <v>213</v>
      </c>
      <c r="B6" s="13">
        <v>862.8908532113909</v>
      </c>
      <c r="C6" s="55">
        <v>-0.1298936822555297</v>
      </c>
    </row>
    <row r="7" spans="1:3" x14ac:dyDescent="0.25">
      <c r="A7" s="11" t="s">
        <v>214</v>
      </c>
      <c r="B7" s="13">
        <v>1732.596996989638</v>
      </c>
      <c r="C7" s="55">
        <v>0.7470849152881943</v>
      </c>
    </row>
    <row r="9" spans="1:3" x14ac:dyDescent="0.25">
      <c r="A9" s="18" t="s">
        <v>215</v>
      </c>
      <c r="B9" s="35"/>
      <c r="C9" s="52"/>
    </row>
    <row r="10" spans="1:3" x14ac:dyDescent="0.25">
      <c r="A10" s="11" t="s">
        <v>216</v>
      </c>
      <c r="B10" s="13">
        <v>1732.596996989638</v>
      </c>
      <c r="C10" s="52"/>
    </row>
    <row r="11" spans="1:3" x14ac:dyDescent="0.25">
      <c r="A11" s="11" t="s">
        <v>211</v>
      </c>
      <c r="B11" s="14">
        <v>0.7470849152881943</v>
      </c>
      <c r="C11" s="52"/>
    </row>
    <row r="12" spans="1:3" x14ac:dyDescent="0.25">
      <c r="A12" s="11" t="s">
        <v>217</v>
      </c>
      <c r="B12" s="35"/>
      <c r="C12" s="52"/>
    </row>
    <row r="13" spans="1:3" s="17" customFormat="1" x14ac:dyDescent="0.25">
      <c r="A13" s="18" t="s">
        <v>218</v>
      </c>
      <c r="B13" s="56" t="s">
        <v>98</v>
      </c>
      <c r="C13" s="57" t="s">
        <v>101</v>
      </c>
    </row>
    <row r="14" spans="1:3" x14ac:dyDescent="0.25">
      <c r="A14" s="11" t="s">
        <v>41</v>
      </c>
      <c r="B14" s="14">
        <v>0.098</v>
      </c>
      <c r="C14" s="52" t="s">
        <v>219</v>
      </c>
    </row>
    <row r="15" spans="1:3" x14ac:dyDescent="0.25">
      <c r="A15" s="11" t="s">
        <v>43</v>
      </c>
      <c r="B15" s="14">
        <v>0.011</v>
      </c>
      <c r="C15" s="52" t="s">
        <v>220</v>
      </c>
    </row>
    <row r="16" spans="1:3" x14ac:dyDescent="0.25">
      <c r="A16" s="11" t="s">
        <v>45</v>
      </c>
      <c r="B16" s="16">
        <v>10</v>
      </c>
      <c r="C16" s="52" t="s">
        <v>221</v>
      </c>
    </row>
    <row r="17" spans="1:3" x14ac:dyDescent="0.25">
      <c r="A17" s="11" t="s">
        <v>47</v>
      </c>
      <c r="B17" s="16">
        <v>1.55</v>
      </c>
      <c r="C17" s="52" t="s">
        <v>222</v>
      </c>
    </row>
    <row r="18" spans="1:3" x14ac:dyDescent="0.25">
      <c r="A18" s="11" t="s">
        <v>49</v>
      </c>
      <c r="B18" s="14">
        <v>0.16</v>
      </c>
      <c r="C18" s="52" t="s">
        <v>223</v>
      </c>
    </row>
    <row r="19" spans="1:3" x14ac:dyDescent="0.25">
      <c r="A19" s="11" t="s">
        <v>51</v>
      </c>
      <c r="B19" s="14">
        <v>0.125</v>
      </c>
      <c r="C19" s="52" t="s">
        <v>224</v>
      </c>
    </row>
    <row r="20" spans="1:3" x14ac:dyDescent="0.25">
      <c r="A20" s="11" t="s">
        <v>53</v>
      </c>
      <c r="B20" s="16">
        <v>5</v>
      </c>
      <c r="C20" s="52" t="s">
        <v>225</v>
      </c>
    </row>
    <row r="21" spans="1:3" x14ac:dyDescent="0.25">
      <c r="A21" s="11" t="s">
        <v>55</v>
      </c>
      <c r="B21" s="14">
        <v>0.14</v>
      </c>
      <c r="C21" s="52" t="s">
        <v>226</v>
      </c>
    </row>
    <row r="22" spans="1:3" x14ac:dyDescent="0.25">
      <c r="A22" s="11" t="s">
        <v>57</v>
      </c>
      <c r="B22" s="35" t="s">
        <v>227</v>
      </c>
      <c r="C22" s="52" t="s">
        <v>228</v>
      </c>
    </row>
    <row r="23" spans="1:3" x14ac:dyDescent="0.25">
      <c r="A23" s="11" t="s">
        <v>60</v>
      </c>
      <c r="B23" s="14">
        <v>0.6</v>
      </c>
      <c r="C23" s="52" t="s">
        <v>229</v>
      </c>
    </row>
    <row r="25" spans="1:3" x14ac:dyDescent="0.25">
      <c r="A25" s="18" t="s">
        <v>230</v>
      </c>
      <c r="B25" s="35"/>
      <c r="C25" s="52"/>
    </row>
    <row r="26" spans="1:3" x14ac:dyDescent="0.25">
      <c r="A26" s="11" t="s">
        <v>216</v>
      </c>
      <c r="B26" s="13">
        <v>862.8908532113909</v>
      </c>
      <c r="C26" s="52"/>
    </row>
    <row r="27" spans="1:3" x14ac:dyDescent="0.25">
      <c r="A27" s="11" t="s">
        <v>211</v>
      </c>
      <c r="B27" s="14">
        <v>-0.1298936822555297</v>
      </c>
      <c r="C27" s="52"/>
    </row>
    <row r="28" spans="1:3" x14ac:dyDescent="0.25">
      <c r="A28" s="11" t="s">
        <v>231</v>
      </c>
      <c r="B28" s="35"/>
      <c r="C28" s="52"/>
    </row>
    <row r="29" spans="1:3" s="17" customFormat="1" x14ac:dyDescent="0.25">
      <c r="A29" s="18" t="s">
        <v>218</v>
      </c>
      <c r="B29" s="56" t="s">
        <v>98</v>
      </c>
      <c r="C29" s="57" t="s">
        <v>101</v>
      </c>
    </row>
    <row r="30" spans="1:3" x14ac:dyDescent="0.25">
      <c r="A30" s="11" t="s">
        <v>41</v>
      </c>
      <c r="B30" s="14">
        <v>0.035</v>
      </c>
      <c r="C30" s="52" t="s">
        <v>232</v>
      </c>
    </row>
    <row r="31" spans="1:3" x14ac:dyDescent="0.25">
      <c r="A31" s="11" t="s">
        <v>43</v>
      </c>
      <c r="B31" s="14">
        <v>0.0085</v>
      </c>
      <c r="C31" s="52" t="s">
        <v>233</v>
      </c>
    </row>
    <row r="32" spans="1:3" x14ac:dyDescent="0.25">
      <c r="A32" s="11" t="s">
        <v>45</v>
      </c>
      <c r="B32" s="16">
        <v>10</v>
      </c>
      <c r="C32" s="52" t="s">
        <v>234</v>
      </c>
    </row>
    <row r="33" spans="1:3" x14ac:dyDescent="0.25">
      <c r="A33" s="11" t="s">
        <v>47</v>
      </c>
      <c r="B33" s="16">
        <v>1.15</v>
      </c>
      <c r="C33" s="52" t="s">
        <v>235</v>
      </c>
    </row>
    <row r="34" spans="1:3" x14ac:dyDescent="0.25">
      <c r="A34" s="11" t="s">
        <v>49</v>
      </c>
      <c r="B34" s="14">
        <v>0.105</v>
      </c>
      <c r="C34" s="52" t="s">
        <v>236</v>
      </c>
    </row>
    <row r="35" spans="1:3" x14ac:dyDescent="0.25">
      <c r="A35" s="11" t="s">
        <v>51</v>
      </c>
      <c r="B35" s="14">
        <v>0.085</v>
      </c>
      <c r="C35" s="52" t="s">
        <v>237</v>
      </c>
    </row>
    <row r="36" spans="1:3" x14ac:dyDescent="0.25">
      <c r="A36" s="11" t="s">
        <v>53</v>
      </c>
      <c r="B36" s="16">
        <v>8</v>
      </c>
      <c r="C36" s="52" t="s">
        <v>238</v>
      </c>
    </row>
    <row r="37" spans="1:3" x14ac:dyDescent="0.25">
      <c r="A37" s="11" t="s">
        <v>55</v>
      </c>
      <c r="B37" s="14">
        <v>0.085</v>
      </c>
      <c r="C37" s="52" t="s">
        <v>239</v>
      </c>
    </row>
    <row r="38" spans="1:3" x14ac:dyDescent="0.25">
      <c r="A38" s="11" t="s">
        <v>57</v>
      </c>
      <c r="B38" s="35" t="s">
        <v>240</v>
      </c>
      <c r="C38" s="52" t="s">
        <v>241</v>
      </c>
    </row>
    <row r="39" spans="1:3" x14ac:dyDescent="0.25">
      <c r="A39" s="11" t="s">
        <v>60</v>
      </c>
      <c r="B39" s="14">
        <v>0.45</v>
      </c>
      <c r="C39" s="52" t="s">
        <v>242</v>
      </c>
    </row>
  </sheetData>
  <pageMargins left="0.7" right="0.7" top="0.75" bottom="0.75" header="0.3" footer="0.3"/>
  <pageSetup orientation="portrait" horizontalDpi="4294967295" verticalDpi="4294967295" scale="100" fitToWidth="1" fitToHeight="1"/>
  <pictur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howGridLines="0"/>
  </sheetViews>
  <sheetFormatPr defaultRowHeight="15" outlineLevelRow="0" outlineLevelCol="0" x14ac:dyDescent="55"/>
  <cols>
    <col min="1" max="1" width="25" style="6" customWidth="1"/>
    <col min="2" max="8" width="15" style="7" customWidth="1"/>
  </cols>
  <sheetData>
    <row r="1" spans="1:8" s="8" customFormat="1" x14ac:dyDescent="0.25">
      <c r="A1" s="9" t="s">
        <v>243</v>
      </c>
      <c r="B1" s="10"/>
      <c r="C1" s="10"/>
      <c r="D1" s="10"/>
      <c r="E1" s="10"/>
      <c r="F1" s="10"/>
      <c r="G1" s="10"/>
      <c r="H1" s="10"/>
    </row>
    <row r="2" spans="1:8" x14ac:dyDescent="0.25">
      <c r="A2" s="11" t="s">
        <v>10</v>
      </c>
      <c r="B2" s="12"/>
      <c r="C2" s="12"/>
      <c r="D2" s="12"/>
      <c r="E2" s="12"/>
      <c r="F2" s="12"/>
      <c r="G2" s="12"/>
      <c r="H2" s="12"/>
    </row>
    <row r="4" spans="1:8" x14ac:dyDescent="0.25">
      <c r="A4" s="21" t="s">
        <v>244</v>
      </c>
      <c r="B4" s="58">
        <v>-0.019</v>
      </c>
      <c r="C4" s="58">
        <v>-0.014</v>
      </c>
      <c r="D4" s="58">
        <v>-0.009</v>
      </c>
      <c r="E4" s="58">
        <v>-0.004</v>
      </c>
      <c r="F4" s="58">
        <v>0.001</v>
      </c>
      <c r="G4" s="58">
        <v>0.006</v>
      </c>
      <c r="H4" s="58">
        <v>0.011</v>
      </c>
    </row>
    <row r="5" spans="1:8" x14ac:dyDescent="0.25">
      <c r="A5" s="59">
        <v>0.0394</v>
      </c>
      <c r="B5" s="60">
        <v>1832.495651749441</v>
      </c>
      <c r="C5" s="60">
        <v>1915.107146253321</v>
      </c>
      <c r="D5" s="60">
        <v>2013.604134446041</v>
      </c>
      <c r="E5" s="60">
        <v>2133.437065574847</v>
      </c>
      <c r="F5" s="60">
        <v>2282.894304463967</v>
      </c>
      <c r="G5" s="60">
        <v>2475.226308059351</v>
      </c>
      <c r="H5" s="60">
        <v>2733.013650342845</v>
      </c>
    </row>
    <row r="6" spans="1:8" x14ac:dyDescent="0.25">
      <c r="A6" s="59">
        <v>0.0494</v>
      </c>
      <c r="B6" s="60">
        <v>1552.245153099771</v>
      </c>
      <c r="C6" s="60">
        <v>1602.994944131734</v>
      </c>
      <c r="D6" s="60">
        <v>1661.536927665824</v>
      </c>
      <c r="E6" s="60">
        <v>1730.030175058117</v>
      </c>
      <c r="F6" s="60">
        <v>1811.525310345822</v>
      </c>
      <c r="G6" s="60">
        <v>1910.478069161962</v>
      </c>
      <c r="H6" s="60">
        <v>2033.664075488874</v>
      </c>
    </row>
    <row r="7" spans="1:8" x14ac:dyDescent="0.25">
      <c r="A7" s="59">
        <v>0.0594</v>
      </c>
      <c r="B7" s="60">
        <v>1346.037207340534</v>
      </c>
      <c r="C7" s="60">
        <v>1378.44278156177</v>
      </c>
      <c r="D7" s="60">
        <v>1414.883466510514</v>
      </c>
      <c r="E7" s="60">
        <v>1456.290955897847</v>
      </c>
      <c r="F7" s="60">
        <v>1503.915540943966</v>
      </c>
      <c r="G7" s="60">
        <v>1559.475260327656</v>
      </c>
      <c r="H7" s="60">
        <v>1625.39749840548</v>
      </c>
    </row>
    <row r="8" spans="1:8" x14ac:dyDescent="0.25">
      <c r="A8" s="59">
        <v>0.0694</v>
      </c>
      <c r="B8" s="60">
        <v>1188.567542968085</v>
      </c>
      <c r="C8" s="60">
        <v>1209.78273038017</v>
      </c>
      <c r="D8" s="60">
        <v>1233.141772309783</v>
      </c>
      <c r="E8" s="60">
        <v>1259.064557347306</v>
      </c>
      <c r="F8" s="60">
        <v>1288.093375590836</v>
      </c>
      <c r="G8" s="60">
        <v>1320.941179439179</v>
      </c>
      <c r="H8" s="60">
        <v>1358.564635853053</v>
      </c>
    </row>
    <row r="9" spans="1:8" x14ac:dyDescent="0.25">
      <c r="A9" s="59">
        <v>0.0794</v>
      </c>
      <c r="B9" s="60">
        <v>1064.832383774595</v>
      </c>
      <c r="C9" s="60">
        <v>1078.922739878577</v>
      </c>
      <c r="D9" s="60">
        <v>1094.149415683572</v>
      </c>
      <c r="E9" s="60">
        <v>1110.702043678875</v>
      </c>
      <c r="F9" s="60">
        <v>1128.81833298471</v>
      </c>
      <c r="G9" s="60">
        <v>1148.800440427665</v>
      </c>
      <c r="H9" s="60">
        <v>1171.038521884861</v>
      </c>
    </row>
    <row r="10" spans="1:8" x14ac:dyDescent="0.25">
      <c r="A10" s="59">
        <v>0.0894</v>
      </c>
      <c r="B10" s="61">
        <v>965.3760099847938</v>
      </c>
      <c r="C10" s="61">
        <v>974.7806816676441</v>
      </c>
      <c r="D10" s="61">
        <v>984.7635055421513</v>
      </c>
      <c r="E10" s="60">
        <v>995.4052278970302</v>
      </c>
      <c r="F10" s="60">
        <v>1006.804619527497</v>
      </c>
      <c r="G10" s="60">
        <v>1019.083875689893</v>
      </c>
      <c r="H10" s="60">
        <v>1032.396082343399</v>
      </c>
    </row>
    <row r="11" spans="1:8" x14ac:dyDescent="0.25">
      <c r="A11" s="59">
        <v>0.0994</v>
      </c>
      <c r="B11" s="61">
        <v>883.9467790771827</v>
      </c>
      <c r="C11" s="61">
        <v>890.1925656745418</v>
      </c>
      <c r="D11" s="61">
        <v>896.699466776594</v>
      </c>
      <c r="E11" s="61">
        <v>903.4952992332281</v>
      </c>
      <c r="F11" s="61">
        <v>910.6133320668501</v>
      </c>
      <c r="G11" s="61">
        <v>918.0937433061819</v>
      </c>
      <c r="H11" s="61">
        <v>925.9855712026613</v>
      </c>
    </row>
    <row r="12" spans="1:8" x14ac:dyDescent="0.25">
      <c r="A12" s="59">
        <v>0.1094</v>
      </c>
      <c r="B12" s="61">
        <v>816.248568956663</v>
      </c>
      <c r="C12" s="61">
        <v>820.324152595541</v>
      </c>
      <c r="D12" s="61">
        <v>824.4786352229859</v>
      </c>
      <c r="E12" s="61">
        <v>828.7140032019087</v>
      </c>
      <c r="F12" s="61">
        <v>833.032440772388</v>
      </c>
      <c r="G12" s="61">
        <v>837.4363757916749</v>
      </c>
      <c r="H12" s="61">
        <v>841.9285394044192</v>
      </c>
    </row>
    <row r="13" spans="1:8" x14ac:dyDescent="0.25">
      <c r="A13" s="59">
        <v>0.1194</v>
      </c>
      <c r="B13" s="61">
        <v>759.2335889348408</v>
      </c>
      <c r="C13" s="61">
        <v>761.7970635303219</v>
      </c>
      <c r="D13" s="61">
        <v>764.3349935788779</v>
      </c>
      <c r="E13" s="61">
        <v>766.8371171574347</v>
      </c>
      <c r="F13" s="61">
        <v>769.2912966168597</v>
      </c>
      <c r="G13" s="61">
        <v>771.6831032948529</v>
      </c>
      <c r="H13" s="61">
        <v>773.9952872845165</v>
      </c>
    </row>
    <row r="14" spans="1:8" x14ac:dyDescent="0.25">
      <c r="A14" s="59">
        <v>0.1294</v>
      </c>
      <c r="B14" s="61">
        <v>710.681187016455</v>
      </c>
      <c r="C14" s="61">
        <v>712.1805999302239</v>
      </c>
      <c r="D14" s="61">
        <v>713.5959258442199</v>
      </c>
      <c r="E14" s="61">
        <v>714.9116036695159</v>
      </c>
      <c r="F14" s="61">
        <v>716.1095274377119</v>
      </c>
      <c r="G14" s="61">
        <v>717.1685292275874</v>
      </c>
      <c r="H14" s="61">
        <v>718.0637310660165</v>
      </c>
    </row>
    <row r="15" spans="1:8" x14ac:dyDescent="0.25">
      <c r="A15" s="59">
        <v>0.1394</v>
      </c>
      <c r="B15" s="61">
        <v>668.9362585887418</v>
      </c>
      <c r="C15" s="61">
        <v>669.6823846641825</v>
      </c>
      <c r="D15" s="61">
        <v>670.3133902784634</v>
      </c>
      <c r="E15" s="61">
        <v>670.8119908821706</v>
      </c>
      <c r="F15" s="61">
        <v>671.1583005058401</v>
      </c>
      <c r="G15" s="61">
        <v>671.3293429582336</v>
      </c>
      <c r="H15" s="61">
        <v>671.2984488096379</v>
      </c>
    </row>
    <row r="17" spans="1:8" s="62" customFormat="1" x14ac:dyDescent="0.25">
      <c r="A17" s="63" t="s">
        <v>245</v>
      </c>
      <c r="B17" s="64"/>
      <c r="C17" s="64"/>
      <c r="D17" s="64"/>
      <c r="E17" s="64"/>
      <c r="F17" s="64"/>
      <c r="G17" s="64"/>
      <c r="H17" s="64"/>
    </row>
  </sheetData>
  <pageMargins left="0.7" right="0.7" top="0.75" bottom="0.75" header="0.3" footer="0.3"/>
  <pageSetup orientation="portrait" horizontalDpi="4294967295" verticalDpi="4294967295" scale="100" fitToWidth="1" fitToHeight="1"/>
  <pictur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workbookViewId="0" showGridLines="0"/>
  </sheetViews>
  <sheetFormatPr defaultRowHeight="15" outlineLevelRow="0" outlineLevelCol="0" x14ac:dyDescent="55"/>
  <cols>
    <col min="1" max="1" width="25" style="6" customWidth="1"/>
    <col min="2" max="4" width="15" style="65" customWidth="1"/>
  </cols>
  <sheetData>
    <row r="1" spans="1:4" s="8" customFormat="1" x14ac:dyDescent="0.25">
      <c r="A1" s="9" t="s">
        <v>246</v>
      </c>
      <c r="B1" s="66"/>
      <c r="C1" s="66"/>
      <c r="D1" s="66"/>
    </row>
    <row r="2" spans="1:4" x14ac:dyDescent="0.25">
      <c r="A2" s="11" t="s">
        <v>10</v>
      </c>
      <c r="B2" s="67"/>
      <c r="C2" s="67"/>
      <c r="D2" s="67"/>
    </row>
    <row r="4" spans="1:4" x14ac:dyDescent="0.25">
      <c r="A4" s="11" t="s">
        <v>20</v>
      </c>
      <c r="B4" s="14">
        <v>0.09293511211872099</v>
      </c>
      <c r="C4" s="67" t="s">
        <v>63</v>
      </c>
      <c r="D4" s="67" t="s">
        <v>63</v>
      </c>
    </row>
    <row r="6" spans="1:4" s="32" customFormat="1" x14ac:dyDescent="0.25">
      <c r="A6" s="21" t="s">
        <v>247</v>
      </c>
      <c r="B6" s="68" t="s">
        <v>248</v>
      </c>
      <c r="C6" s="68" t="s">
        <v>249</v>
      </c>
      <c r="D6" s="68" t="s">
        <v>250</v>
      </c>
    </row>
    <row r="7" spans="1:4" x14ac:dyDescent="0.25">
      <c r="A7" s="11" t="s">
        <v>49</v>
      </c>
      <c r="B7" s="14">
        <v>0.13</v>
      </c>
      <c r="C7" s="14">
        <v>0.1068066410526966</v>
      </c>
      <c r="D7" s="14">
        <v>-0.0231933589473034</v>
      </c>
    </row>
    <row r="8" spans="1:4" x14ac:dyDescent="0.25">
      <c r="A8" s="11" t="s">
        <v>41</v>
      </c>
      <c r="B8" s="14">
        <v>0.073</v>
      </c>
      <c r="C8" s="14">
        <v>0.05997603689882201</v>
      </c>
      <c r="D8" s="14">
        <v>-0.013023963101177982</v>
      </c>
    </row>
    <row r="9" spans="1:4" x14ac:dyDescent="0.25">
      <c r="A9" s="11" t="s">
        <v>47</v>
      </c>
      <c r="B9" s="69">
        <v>1.35</v>
      </c>
      <c r="C9" s="69">
        <v>1.109145887854927</v>
      </c>
      <c r="D9" s="69">
        <v>-0.24085411214507313</v>
      </c>
    </row>
    <row r="11" spans="1:4" s="17" customFormat="1" x14ac:dyDescent="0.25">
      <c r="A11" s="18" t="s">
        <v>251</v>
      </c>
      <c r="B11" s="70"/>
      <c r="C11" s="70"/>
      <c r="D11" s="70"/>
    </row>
    <row r="12" spans="1:4" s="32" customFormat="1" x14ac:dyDescent="0.25">
      <c r="A12" s="21" t="s">
        <v>252</v>
      </c>
      <c r="B12" s="68" t="s">
        <v>253</v>
      </c>
      <c r="C12" s="71"/>
      <c r="D12" s="71"/>
    </row>
    <row r="13" spans="1:4" x14ac:dyDescent="0.25">
      <c r="A13" s="11" t="s">
        <v>254</v>
      </c>
      <c r="B13" s="72">
        <v>670.7262088348862</v>
      </c>
      <c r="C13" s="67"/>
      <c r="D13" s="67"/>
    </row>
    <row r="14" spans="1:4" x14ac:dyDescent="0.25">
      <c r="A14" s="11" t="s">
        <v>255</v>
      </c>
      <c r="B14" s="72">
        <v>897.9043632709203</v>
      </c>
      <c r="C14" s="67"/>
      <c r="D14" s="67"/>
    </row>
    <row r="15" spans="1:4" x14ac:dyDescent="0.25">
      <c r="A15" s="11" t="s">
        <v>149</v>
      </c>
      <c r="B15" s="73">
        <v>965.2055538750831</v>
      </c>
      <c r="C15" s="67"/>
      <c r="D15" s="67"/>
    </row>
    <row r="16" spans="1:4" x14ac:dyDescent="0.25">
      <c r="A16" s="11" t="s">
        <v>256</v>
      </c>
      <c r="B16" s="73">
        <v>1008.900107984482</v>
      </c>
      <c r="C16" s="67"/>
      <c r="D16" s="67"/>
    </row>
    <row r="17" spans="1:4" x14ac:dyDescent="0.25">
      <c r="A17" s="11" t="s">
        <v>257</v>
      </c>
      <c r="B17" s="73">
        <v>1045.745573410484</v>
      </c>
      <c r="C17" s="67"/>
      <c r="D17" s="67"/>
    </row>
    <row r="18" spans="1:4" x14ac:dyDescent="0.25">
      <c r="A18" s="11" t="s">
        <v>150</v>
      </c>
      <c r="B18" s="74">
        <v>1078.889546234116</v>
      </c>
      <c r="C18" s="67"/>
      <c r="D18" s="67"/>
    </row>
    <row r="19" spans="1:4" x14ac:dyDescent="0.25">
      <c r="A19" s="11" t="s">
        <v>258</v>
      </c>
      <c r="B19" s="74">
        <v>1112.140503191757</v>
      </c>
      <c r="C19" s="67"/>
      <c r="D19" s="67"/>
    </row>
    <row r="20" spans="1:4" x14ac:dyDescent="0.25">
      <c r="A20" s="11" t="s">
        <v>259</v>
      </c>
      <c r="B20" s="74">
        <v>1141.475566245828</v>
      </c>
      <c r="C20" s="67"/>
      <c r="D20" s="67"/>
    </row>
    <row r="21" spans="1:4" x14ac:dyDescent="0.25">
      <c r="A21" s="11" t="s">
        <v>260</v>
      </c>
      <c r="B21" s="74">
        <v>1171.423534307362</v>
      </c>
      <c r="C21" s="67"/>
      <c r="D21" s="67"/>
    </row>
    <row r="22" spans="1:4" x14ac:dyDescent="0.25">
      <c r="A22" s="11" t="s">
        <v>261</v>
      </c>
      <c r="B22" s="74">
        <v>1201.542145269541</v>
      </c>
      <c r="C22" s="67"/>
      <c r="D22" s="67"/>
    </row>
    <row r="23" spans="1:4" x14ac:dyDescent="0.25">
      <c r="A23" s="11" t="s">
        <v>151</v>
      </c>
      <c r="B23" s="74">
        <v>1231.699160426617</v>
      </c>
      <c r="C23" s="67"/>
      <c r="D23" s="67"/>
    </row>
    <row r="24" spans="1:4" x14ac:dyDescent="0.25">
      <c r="A24" s="11" t="s">
        <v>262</v>
      </c>
      <c r="B24" s="74">
        <v>1262.644344344174</v>
      </c>
      <c r="C24" s="67"/>
      <c r="D24" s="67"/>
    </row>
    <row r="25" spans="1:4" x14ac:dyDescent="0.25">
      <c r="A25" s="11" t="s">
        <v>263</v>
      </c>
      <c r="B25" s="74">
        <v>1293.071059852962</v>
      </c>
      <c r="C25" s="67"/>
      <c r="D25" s="67"/>
    </row>
    <row r="26" spans="1:4" x14ac:dyDescent="0.25">
      <c r="A26" s="11" t="s">
        <v>264</v>
      </c>
      <c r="B26" s="74">
        <v>1325.661479156918</v>
      </c>
      <c r="C26" s="67"/>
      <c r="D26" s="67"/>
    </row>
    <row r="27" spans="1:4" x14ac:dyDescent="0.25">
      <c r="A27" s="11" t="s">
        <v>265</v>
      </c>
      <c r="B27" s="74">
        <v>1358.400555900953</v>
      </c>
      <c r="C27" s="67"/>
      <c r="D27" s="67"/>
    </row>
    <row r="28" spans="1:4" x14ac:dyDescent="0.25">
      <c r="A28" s="11" t="s">
        <v>152</v>
      </c>
      <c r="B28" s="75">
        <v>1397.423271442439</v>
      </c>
      <c r="C28" s="67"/>
      <c r="D28" s="67"/>
    </row>
    <row r="29" spans="1:4" x14ac:dyDescent="0.25">
      <c r="A29" s="11" t="s">
        <v>266</v>
      </c>
      <c r="B29" s="75">
        <v>1442.168254093868</v>
      </c>
      <c r="C29" s="67"/>
      <c r="D29" s="67"/>
    </row>
    <row r="30" spans="1:4" x14ac:dyDescent="0.25">
      <c r="A30" s="11" t="s">
        <v>267</v>
      </c>
      <c r="B30" s="75">
        <v>1497.233683510203</v>
      </c>
      <c r="C30" s="67"/>
      <c r="D30" s="67"/>
    </row>
    <row r="31" spans="1:4" x14ac:dyDescent="0.25">
      <c r="A31" s="11" t="s">
        <v>153</v>
      </c>
      <c r="B31" s="76">
        <v>1563.837711849877</v>
      </c>
      <c r="C31" s="67"/>
      <c r="D31" s="67"/>
    </row>
    <row r="32" spans="1:4" x14ac:dyDescent="0.25">
      <c r="A32" s="11" t="s">
        <v>268</v>
      </c>
      <c r="B32" s="76">
        <v>1666.055167840729</v>
      </c>
      <c r="C32" s="67"/>
      <c r="D32" s="67"/>
    </row>
    <row r="33" spans="1:4" x14ac:dyDescent="0.25">
      <c r="A33" s="11" t="s">
        <v>269</v>
      </c>
      <c r="B33" s="76">
        <v>2388.571896426467</v>
      </c>
      <c r="C33" s="67"/>
      <c r="D33" s="67"/>
    </row>
    <row r="34" spans="1:4" x14ac:dyDescent="0.25">
      <c r="A34" s="77" t="s">
        <v>270</v>
      </c>
      <c r="B34" s="67"/>
      <c r="C34" s="67"/>
      <c r="D34" s="67"/>
    </row>
  </sheetData>
  <pageMargins left="0.7" right="0.7" top="0.75" bottom="0.75" header="0.3" footer="0.3"/>
  <pageSetup orientation="portrait" horizontalDpi="4294967295" verticalDpi="4294967295" scale="100" fitToWidth="1" fitToHeight="1"/>
  <pictur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howGridLines="0"/>
  </sheetViews>
  <sheetFormatPr defaultRowHeight="15" outlineLevelRow="0" outlineLevelCol="0" x14ac:dyDescent="55"/>
  <cols>
    <col min="1" max="1" width="30" style="6" customWidth="1"/>
    <col min="2" max="2" width="50" style="7" customWidth="1"/>
  </cols>
  <sheetData>
    <row r="1" spans="1:2" s="8" customFormat="1" x14ac:dyDescent="0.25">
      <c r="A1" s="9" t="s">
        <v>9</v>
      </c>
      <c r="B1" s="10"/>
    </row>
    <row r="2" spans="1:2" x14ac:dyDescent="0.25">
      <c r="A2" s="11" t="s">
        <v>10</v>
      </c>
      <c r="B2" s="12"/>
    </row>
    <row r="4" spans="1:2" x14ac:dyDescent="0.25">
      <c r="A4" s="11" t="s">
        <v>11</v>
      </c>
      <c r="B4" s="12" t="s">
        <v>12</v>
      </c>
    </row>
    <row r="5" spans="1:2" x14ac:dyDescent="0.25">
      <c r="A5" s="11" t="s">
        <v>13</v>
      </c>
      <c r="B5" s="12" t="s">
        <v>14</v>
      </c>
    </row>
    <row r="6" spans="1:2" x14ac:dyDescent="0.25">
      <c r="A6" s="11" t="s">
        <v>15</v>
      </c>
      <c r="B6" s="12" t="s">
        <v>16</v>
      </c>
    </row>
    <row r="7" spans="1:2" x14ac:dyDescent="0.25">
      <c r="A7" s="11" t="s">
        <v>17</v>
      </c>
      <c r="B7" s="13">
        <v>991.7073760000001</v>
      </c>
    </row>
    <row r="8" spans="1:2" x14ac:dyDescent="0.25">
      <c r="A8" s="11" t="s">
        <v>18</v>
      </c>
      <c r="B8" s="13">
        <v>1245.356791489996</v>
      </c>
    </row>
    <row r="9" spans="1:2" x14ac:dyDescent="0.25">
      <c r="A9" s="11" t="s">
        <v>19</v>
      </c>
      <c r="B9" s="14">
        <v>0.2557704234419209</v>
      </c>
    </row>
    <row r="10" spans="1:2" x14ac:dyDescent="0.25">
      <c r="A10" s="11" t="s">
        <v>20</v>
      </c>
      <c r="B10" s="14">
        <v>0.09293511211872099</v>
      </c>
    </row>
    <row r="11" spans="1:2" x14ac:dyDescent="0.25">
      <c r="A11" s="11" t="s">
        <v>21</v>
      </c>
      <c r="B11" s="12" t="s">
        <v>22</v>
      </c>
    </row>
    <row r="12" spans="1:2" x14ac:dyDescent="0.25">
      <c r="A12" s="11" t="s">
        <v>23</v>
      </c>
      <c r="B12" s="15">
        <v>46083.43753416667</v>
      </c>
    </row>
    <row r="13" spans="1:2" x14ac:dyDescent="0.25">
      <c r="A13" s="11" t="s">
        <v>24</v>
      </c>
      <c r="B13" s="15">
        <v>45747</v>
      </c>
    </row>
    <row r="14" spans="1:2" x14ac:dyDescent="0.25">
      <c r="A14" s="11" t="s">
        <v>25</v>
      </c>
      <c r="B14" s="12" t="s">
        <v>26</v>
      </c>
    </row>
    <row r="15" spans="1:2" x14ac:dyDescent="0.25">
      <c r="A15" s="11" t="s">
        <v>27</v>
      </c>
      <c r="B15" s="12" t="s">
        <v>28</v>
      </c>
    </row>
    <row r="16" spans="1:2" x14ac:dyDescent="0.25">
      <c r="A16" s="11" t="s">
        <v>29</v>
      </c>
      <c r="B16" s="12" t="s">
        <v>30</v>
      </c>
    </row>
    <row r="17" spans="1:2" x14ac:dyDescent="0.25">
      <c r="A17" s="11" t="s">
        <v>31</v>
      </c>
      <c r="B17" s="12" t="s">
        <v>32</v>
      </c>
    </row>
    <row r="18" spans="1:2" x14ac:dyDescent="0.25">
      <c r="A18" s="11" t="s">
        <v>33</v>
      </c>
      <c r="B18" s="12" t="s">
        <v>34</v>
      </c>
    </row>
    <row r="19" spans="1:2" x14ac:dyDescent="0.25">
      <c r="A19" s="11" t="s">
        <v>35</v>
      </c>
      <c r="B19" s="16">
        <v>2299710.220839508</v>
      </c>
    </row>
    <row r="20" spans="1:2" x14ac:dyDescent="0.25">
      <c r="A20" s="11" t="s">
        <v>36</v>
      </c>
      <c r="B20" s="16">
        <v>2318.940321</v>
      </c>
    </row>
  </sheetData>
  <pageMargins left="0.7" right="0.7" top="0.75" bottom="0.75" header="0.3" footer="0.3"/>
  <pageSetup orientation="portrait" horizontalDpi="4294967295" verticalDpi="4294967295" scale="100" fitToWidth="1" fitToHeight="1"/>
  <pictur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howGridLines="0"/>
  </sheetViews>
  <sheetFormatPr defaultRowHeight="15" outlineLevelRow="0" outlineLevelCol="0" x14ac:dyDescent="55"/>
  <cols>
    <col min="1" max="1" width="30" style="6" customWidth="1"/>
    <col min="2" max="2" width="15" style="7" customWidth="1"/>
    <col min="3" max="3" width="60" style="6" customWidth="1"/>
  </cols>
  <sheetData>
    <row r="1" spans="1:3" s="8" customFormat="1" x14ac:dyDescent="0.25">
      <c r="A1" s="9" t="s">
        <v>37</v>
      </c>
      <c r="B1" s="10"/>
      <c r="C1" s="9"/>
    </row>
    <row r="2" spans="1:3" x14ac:dyDescent="0.25">
      <c r="A2" s="11" t="s">
        <v>38</v>
      </c>
      <c r="B2" s="12"/>
      <c r="C2" s="11"/>
    </row>
    <row r="4" spans="1:3" s="17" customFormat="1" x14ac:dyDescent="0.25">
      <c r="A4" s="18" t="s">
        <v>39</v>
      </c>
      <c r="B4" s="18"/>
      <c r="C4" s="18"/>
    </row>
    <row r="5" spans="1:3" x14ac:dyDescent="0.25">
      <c r="A5" s="11" t="s">
        <v>40</v>
      </c>
      <c r="B5" s="11"/>
      <c r="C5" s="11"/>
    </row>
    <row r="7" spans="1:3" s="17" customFormat="1" x14ac:dyDescent="0.25">
      <c r="A7" s="18" t="s">
        <v>37</v>
      </c>
      <c r="B7" s="18"/>
      <c r="C7" s="18"/>
    </row>
    <row r="8" spans="1:3" x14ac:dyDescent="0.25">
      <c r="A8" s="11" t="s">
        <v>41</v>
      </c>
      <c r="B8" s="19">
        <v>0.073</v>
      </c>
      <c r="C8" s="11" t="s">
        <v>42</v>
      </c>
    </row>
    <row r="9" spans="1:3" x14ac:dyDescent="0.25">
      <c r="A9" s="11" t="s">
        <v>43</v>
      </c>
      <c r="B9" s="19">
        <v>0.011</v>
      </c>
      <c r="C9" s="11" t="s">
        <v>44</v>
      </c>
    </row>
    <row r="10" spans="1:3" x14ac:dyDescent="0.25">
      <c r="A10" s="11" t="s">
        <v>45</v>
      </c>
      <c r="B10" s="20">
        <v>10</v>
      </c>
      <c r="C10" s="11" t="s">
        <v>46</v>
      </c>
    </row>
    <row r="11" spans="1:3" x14ac:dyDescent="0.25">
      <c r="A11" s="11" t="s">
        <v>47</v>
      </c>
      <c r="B11" s="20">
        <v>1.35</v>
      </c>
      <c r="C11" s="11" t="s">
        <v>48</v>
      </c>
    </row>
    <row r="12" spans="1:3" x14ac:dyDescent="0.25">
      <c r="A12" s="11" t="s">
        <v>49</v>
      </c>
      <c r="B12" s="19">
        <v>0.13</v>
      </c>
      <c r="C12" s="11" t="s">
        <v>50</v>
      </c>
    </row>
    <row r="13" spans="1:3" x14ac:dyDescent="0.25">
      <c r="A13" s="11" t="s">
        <v>51</v>
      </c>
      <c r="B13" s="19">
        <v>0.108</v>
      </c>
      <c r="C13" s="11" t="s">
        <v>52</v>
      </c>
    </row>
    <row r="14" spans="1:3" x14ac:dyDescent="0.25">
      <c r="A14" s="11" t="s">
        <v>53</v>
      </c>
      <c r="B14" s="20">
        <v>6</v>
      </c>
      <c r="C14" s="11" t="s">
        <v>54</v>
      </c>
    </row>
    <row r="15" spans="1:3" x14ac:dyDescent="0.25">
      <c r="A15" s="11" t="s">
        <v>55</v>
      </c>
      <c r="B15" s="19">
        <v>0.11</v>
      </c>
      <c r="C15" s="11" t="s">
        <v>56</v>
      </c>
    </row>
    <row r="16" spans="1:3" x14ac:dyDescent="0.25">
      <c r="A16" s="11" t="s">
        <v>57</v>
      </c>
      <c r="B16" s="12" t="s">
        <v>58</v>
      </c>
      <c r="C16" s="11" t="s">
        <v>59</v>
      </c>
    </row>
    <row r="17" spans="1:3" x14ac:dyDescent="0.25">
      <c r="A17" s="11" t="s">
        <v>60</v>
      </c>
      <c r="B17" s="19">
        <v>0.55</v>
      </c>
      <c r="C17" s="11" t="s">
        <v>61</v>
      </c>
    </row>
  </sheetData>
  <mergeCells count="3">
    <mergeCell ref="A4:C4"/>
    <mergeCell ref="A5:C5"/>
    <mergeCell ref="A7:C7"/>
  </mergeCells>
  <pageMargins left="0.7" right="0.7" top="0.75" bottom="0.75" header="0.3" footer="0.3"/>
  <pageSetup orientation="portrait" horizontalDpi="4294967295" verticalDpi="4294967295" scale="100" fitToWidth="1" fitToHeight="1"/>
  <pictur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workbookViewId="0" showGridLines="0"/>
  </sheetViews>
  <sheetFormatPr defaultRowHeight="15" outlineLevelRow="0" outlineLevelCol="0" x14ac:dyDescent="55"/>
  <cols>
    <col min="1" max="1" width="30" style="6" customWidth="1"/>
    <col min="2" max="23" width="15" style="7" customWidth="1"/>
  </cols>
  <sheetData>
    <row r="1" spans="1:23" s="8" customFormat="1" x14ac:dyDescent="0.25">
      <c r="A1" s="9" t="s">
        <v>62</v>
      </c>
      <c r="B1" s="10"/>
      <c r="C1" s="10"/>
      <c r="D1" s="10"/>
      <c r="E1" s="10"/>
      <c r="F1" s="10"/>
      <c r="G1" s="10"/>
      <c r="H1" s="10"/>
      <c r="I1" s="10"/>
      <c r="J1" s="10"/>
      <c r="K1" s="10"/>
      <c r="L1" s="10"/>
      <c r="M1" s="10"/>
      <c r="N1" s="10"/>
      <c r="O1" s="10"/>
      <c r="P1" s="10"/>
      <c r="Q1" s="10"/>
      <c r="R1" s="10"/>
      <c r="S1" s="10"/>
      <c r="T1" s="10"/>
      <c r="U1" s="10"/>
      <c r="V1" s="10"/>
      <c r="W1" s="10"/>
    </row>
    <row r="2" spans="1:23" x14ac:dyDescent="0.25">
      <c r="A2" s="11" t="s">
        <v>10</v>
      </c>
      <c r="B2" s="12"/>
      <c r="C2" s="12"/>
      <c r="D2" s="12"/>
      <c r="E2" s="12"/>
      <c r="F2" s="12"/>
      <c r="G2" s="12"/>
      <c r="H2" s="12"/>
      <c r="I2" s="12"/>
      <c r="J2" s="12"/>
      <c r="K2" s="12"/>
      <c r="L2" s="12"/>
      <c r="M2" s="12"/>
      <c r="N2" s="12"/>
      <c r="O2" s="12"/>
      <c r="P2" s="12"/>
      <c r="Q2" s="12"/>
      <c r="R2" s="12"/>
      <c r="S2" s="12"/>
      <c r="T2" s="12"/>
      <c r="U2" s="12"/>
      <c r="V2" s="12"/>
      <c r="W2" s="12"/>
    </row>
    <row r="4" spans="1:23" x14ac:dyDescent="0.25">
      <c r="A4" s="21" t="s">
        <v>63</v>
      </c>
      <c r="B4" s="22" t="s">
        <v>64</v>
      </c>
      <c r="C4" s="23">
        <f>=IF(1&lt;=INDEX(Assumptions!B:B,MATCH("Years to stability",Assumptions!A:A,0)),"FY+1",IF(1=INDEX(Assumptions!B:B,MATCH("Years to stability",Assumptions!A:A,0))+1,"Stability",""))</f>
      </c>
      <c r="D4" s="23">
        <f>=IF(2&lt;=INDEX(Assumptions!B:B,MATCH("Years to stability",Assumptions!A:A,0)),"FY+2",IF(2=INDEX(Assumptions!B:B,MATCH("Years to stability",Assumptions!A:A,0))+1,"Stability",""))</f>
      </c>
      <c r="E4" s="23">
        <f>=IF(3&lt;=INDEX(Assumptions!B:B,MATCH("Years to stability",Assumptions!A:A,0)),"FY+3",IF(3=INDEX(Assumptions!B:B,MATCH("Years to stability",Assumptions!A:A,0))+1,"Stability",""))</f>
      </c>
      <c r="F4" s="23">
        <f>=IF(4&lt;=INDEX(Assumptions!B:B,MATCH("Years to stability",Assumptions!A:A,0)),"FY+4",IF(4=INDEX(Assumptions!B:B,MATCH("Years to stability",Assumptions!A:A,0))+1,"Stability",""))</f>
      </c>
      <c r="G4" s="23">
        <f>=IF(5&lt;=INDEX(Assumptions!B:B,MATCH("Years to stability",Assumptions!A:A,0)),"FY+5",IF(5=INDEX(Assumptions!B:B,MATCH("Years to stability",Assumptions!A:A,0))+1,"Stability",""))</f>
      </c>
      <c r="H4" s="23">
        <f>=IF(6&lt;=INDEX(Assumptions!B:B,MATCH("Years to stability",Assumptions!A:A,0)),"FY+6",IF(6=INDEX(Assumptions!B:B,MATCH("Years to stability",Assumptions!A:A,0))+1,"Stability",""))</f>
      </c>
      <c r="I4" s="23">
        <f>=IF(7&lt;=INDEX(Assumptions!B:B,MATCH("Years to stability",Assumptions!A:A,0)),"FY+7",IF(7=INDEX(Assumptions!B:B,MATCH("Years to stability",Assumptions!A:A,0))+1,"Stability",""))</f>
      </c>
      <c r="J4" s="23">
        <f>=IF(8&lt;=INDEX(Assumptions!B:B,MATCH("Years to stability",Assumptions!A:A,0)),"FY+8",IF(8=INDEX(Assumptions!B:B,MATCH("Years to stability",Assumptions!A:A,0))+1,"Stability",""))</f>
      </c>
      <c r="K4" s="23">
        <f>=IF(9&lt;=INDEX(Assumptions!B:B,MATCH("Years to stability",Assumptions!A:A,0)),"FY+9",IF(9=INDEX(Assumptions!B:B,MATCH("Years to stability",Assumptions!A:A,0))+1,"Stability",""))</f>
      </c>
      <c r="L4" s="23">
        <f>=IF(10&lt;=INDEX(Assumptions!B:B,MATCH("Years to stability",Assumptions!A:A,0)),"FY+10",IF(10=INDEX(Assumptions!B:B,MATCH("Years to stability",Assumptions!A:A,0))+1,"Stability",""))</f>
      </c>
      <c r="M4" s="23">
        <f>=IF(11&lt;=INDEX(Assumptions!B:B,MATCH("Years to stability",Assumptions!A:A,0)),"FY+11",IF(11=INDEX(Assumptions!B:B,MATCH("Years to stability",Assumptions!A:A,0))+1,"Stability",""))</f>
      </c>
      <c r="N4" s="23">
        <f>=IF(12&lt;=INDEX(Assumptions!B:B,MATCH("Years to stability",Assumptions!A:A,0)),"FY+12",IF(12=INDEX(Assumptions!B:B,MATCH("Years to stability",Assumptions!A:A,0))+1,"Stability",""))</f>
      </c>
      <c r="O4" s="23">
        <f>=IF(13&lt;=INDEX(Assumptions!B:B,MATCH("Years to stability",Assumptions!A:A,0)),"FY+13",IF(13=INDEX(Assumptions!B:B,MATCH("Years to stability",Assumptions!A:A,0))+1,"Stability",""))</f>
      </c>
      <c r="P4" s="23">
        <f>=IF(14&lt;=INDEX(Assumptions!B:B,MATCH("Years to stability",Assumptions!A:A,0)),"FY+14",IF(14=INDEX(Assumptions!B:B,MATCH("Years to stability",Assumptions!A:A,0))+1,"Stability",""))</f>
      </c>
      <c r="Q4" s="23">
        <f>=IF(15&lt;=INDEX(Assumptions!B:B,MATCH("Years to stability",Assumptions!A:A,0)),"FY+15",IF(15=INDEX(Assumptions!B:B,MATCH("Years to stability",Assumptions!A:A,0))+1,"Stability",""))</f>
      </c>
      <c r="R4" s="23">
        <f>=IF(16&lt;=INDEX(Assumptions!B:B,MATCH("Years to stability",Assumptions!A:A,0)),"FY+16",IF(16=INDEX(Assumptions!B:B,MATCH("Years to stability",Assumptions!A:A,0))+1,"Stability",""))</f>
      </c>
      <c r="S4" s="23">
        <f>=IF(17&lt;=INDEX(Assumptions!B:B,MATCH("Years to stability",Assumptions!A:A,0)),"FY+17",IF(17=INDEX(Assumptions!B:B,MATCH("Years to stability",Assumptions!A:A,0))+1,"Stability",""))</f>
      </c>
      <c r="T4" s="23">
        <f>=IF(18&lt;=INDEX(Assumptions!B:B,MATCH("Years to stability",Assumptions!A:A,0)),"FY+18",IF(18=INDEX(Assumptions!B:B,MATCH("Years to stability",Assumptions!A:A,0))+1,"Stability",""))</f>
      </c>
      <c r="U4" s="23">
        <f>=IF(19&lt;=INDEX(Assumptions!B:B,MATCH("Years to stability",Assumptions!A:A,0)),"FY+19",IF(19=INDEX(Assumptions!B:B,MATCH("Years to stability",Assumptions!A:A,0))+1,"Stability",""))</f>
      </c>
      <c r="V4" s="23">
        <f>=IF(20&lt;=INDEX(Assumptions!B:B,MATCH("Years to stability",Assumptions!A:A,0)),"FY+20",IF(20=INDEX(Assumptions!B:B,MATCH("Years to stability",Assumptions!A:A,0))+1,"Stability",""))</f>
      </c>
      <c r="W4" s="23">
        <f>=IF(21&lt;=INDEX(Assumptions!B:B,MATCH("Years to stability",Assumptions!A:A,0)),"FY+21",IF(21=INDEX(Assumptions!B:B,MATCH("Years to stability",Assumptions!A:A,0))+1,"Stability",""))</f>
      </c>
    </row>
    <row r="5" spans="1:23" x14ac:dyDescent="0.25">
      <c r="A5" s="11" t="s">
        <v>65</v>
      </c>
      <c r="B5" s="24">
        <f>=INDEX(Financials!B:B,MATCH("Revenue",Financials!A:A,0))</f>
      </c>
      <c r="C5" s="24">
        <f>=IF(1&lt;=INDEX(Assumptions!B:B,MATCH("Years to stability",Assumptions!A:A,0))+1,B5*(1+C6),"")</f>
      </c>
      <c r="D5" s="24">
        <f>=IF(2&lt;=INDEX(Assumptions!B:B,MATCH("Years to stability",Assumptions!A:A,0))+1,C5*(1+D6),"")</f>
      </c>
      <c r="E5" s="24">
        <f>=IF(3&lt;=INDEX(Assumptions!B:B,MATCH("Years to stability",Assumptions!A:A,0))+1,D5*(1+E6),"")</f>
      </c>
      <c r="F5" s="24">
        <f>=IF(4&lt;=INDEX(Assumptions!B:B,MATCH("Years to stability",Assumptions!A:A,0))+1,E5*(1+F6),"")</f>
      </c>
      <c r="G5" s="24">
        <f>=IF(5&lt;=INDEX(Assumptions!B:B,MATCH("Years to stability",Assumptions!A:A,0))+1,F5*(1+G6),"")</f>
      </c>
      <c r="H5" s="24">
        <f>=IF(6&lt;=INDEX(Assumptions!B:B,MATCH("Years to stability",Assumptions!A:A,0))+1,G5*(1+H6),"")</f>
      </c>
      <c r="I5" s="24">
        <f>=IF(7&lt;=INDEX(Assumptions!B:B,MATCH("Years to stability",Assumptions!A:A,0))+1,H5*(1+I6),"")</f>
      </c>
      <c r="J5" s="24">
        <f>=IF(8&lt;=INDEX(Assumptions!B:B,MATCH("Years to stability",Assumptions!A:A,0))+1,I5*(1+J6),"")</f>
      </c>
      <c r="K5" s="24">
        <f>=IF(9&lt;=INDEX(Assumptions!B:B,MATCH("Years to stability",Assumptions!A:A,0))+1,J5*(1+K6),"")</f>
      </c>
      <c r="L5" s="24">
        <f>=IF(10&lt;=INDEX(Assumptions!B:B,MATCH("Years to stability",Assumptions!A:A,0))+1,K5*(1+L6),"")</f>
      </c>
      <c r="M5" s="24">
        <f>=IF(11&lt;=INDEX(Assumptions!B:B,MATCH("Years to stability",Assumptions!A:A,0))+1,L5*(1+M6),"")</f>
      </c>
      <c r="N5" s="24">
        <f>=IF(12&lt;=INDEX(Assumptions!B:B,MATCH("Years to stability",Assumptions!A:A,0))+1,M5*(1+N6),"")</f>
      </c>
      <c r="O5" s="24">
        <f>=IF(13&lt;=INDEX(Assumptions!B:B,MATCH("Years to stability",Assumptions!A:A,0))+1,N5*(1+O6),"")</f>
      </c>
      <c r="P5" s="24">
        <f>=IF(14&lt;=INDEX(Assumptions!B:B,MATCH("Years to stability",Assumptions!A:A,0))+1,O5*(1+P6),"")</f>
      </c>
      <c r="Q5" s="24">
        <f>=IF(15&lt;=INDEX(Assumptions!B:B,MATCH("Years to stability",Assumptions!A:A,0))+1,P5*(1+Q6),"")</f>
      </c>
      <c r="R5" s="24">
        <f>=IF(16&lt;=INDEX(Assumptions!B:B,MATCH("Years to stability",Assumptions!A:A,0))+1,Q5*(1+R6),"")</f>
      </c>
      <c r="S5" s="24">
        <f>=IF(17&lt;=INDEX(Assumptions!B:B,MATCH("Years to stability",Assumptions!A:A,0))+1,R5*(1+S6),"")</f>
      </c>
      <c r="T5" s="24">
        <f>=IF(18&lt;=INDEX(Assumptions!B:B,MATCH("Years to stability",Assumptions!A:A,0))+1,S5*(1+T6),"")</f>
      </c>
      <c r="U5" s="24">
        <f>=IF(19&lt;=INDEX(Assumptions!B:B,MATCH("Years to stability",Assumptions!A:A,0))+1,T5*(1+U6),"")</f>
      </c>
      <c r="V5" s="24">
        <f>=IF(20&lt;=INDEX(Assumptions!B:B,MATCH("Years to stability",Assumptions!A:A,0))+1,U5*(1+V6),"")</f>
      </c>
      <c r="W5" s="24">
        <f>=IF(21&lt;=INDEX(Assumptions!B:B,MATCH("Years to stability",Assumptions!A:A,0))+1,V5*(1+W6),"")</f>
      </c>
    </row>
    <row r="6" spans="1:23" x14ac:dyDescent="0.25">
      <c r="A6" s="11" t="s">
        <v>66</v>
      </c>
      <c r="B6" s="25">
        <f>=INDEX(Financials!B:B,MATCH("YoY Growth",Financials!A:A,0))</f>
      </c>
      <c r="C6" s="25">
        <f>=IF(1&gt;INDEX(Assumptions!B:B,MATCH("Years to stability",Assumptions!A:A,0))+1,"",IF(1=INDEX(Assumptions!B:B,MATCH("Years to stability",Assumptions!A:A,0))+1,INDEX(Assumptions!B:B,MATCH("Stable growth rate",Assumptions!A:A,0)),IF(INDEX(Assumptions!B:B,MATCH("Years to stability",Assumptions!A:A,0))=1,INDEX(Assumptions!B:B,MATCH("Revenue growth rate",Assumptions!A:A,0)),IF(1&lt;=INT(INDEX(Assumptions!B:B,MATCH("Years to stability",Assumptions!A:A,0))/2),INDEX(Assumptions!B:B,MATCH("Revenue growth rate",Assumptions!A:A,0)),INDEX(Assumptions!B:B,MATCH("Revenue growth rate",Assumptions!A:A,0))+(((1-INT(INDEX(Assumptions!B:B,MATCH("Years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D6" s="25">
        <f>=IF(2&gt;INDEX(Assumptions!B:B,MATCH("Years to stability",Assumptions!A:A,0))+1,"",IF(2=INDEX(Assumptions!B:B,MATCH("Years to stability",Assumptions!A:A,0))+1,INDEX(Assumptions!B:B,MATCH("Stable growth rate",Assumptions!A:A,0)),IF(INDEX(Assumptions!B:B,MATCH("Years to stability",Assumptions!A:A,0))=1,INDEX(Assumptions!B:B,MATCH("Revenue growth rate",Assumptions!A:A,0)),IF(2&lt;=INT(INDEX(Assumptions!B:B,MATCH("Years to stability",Assumptions!A:A,0))/2),INDEX(Assumptions!B:B,MATCH("Revenue growth rate",Assumptions!A:A,0)),INDEX(Assumptions!B:B,MATCH("Revenue growth rate",Assumptions!A:A,0))+(((2-INT(INDEX(Assumptions!B:B,MATCH("Years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E6" s="25">
        <f>=IF(3&gt;INDEX(Assumptions!B:B,MATCH("Years to stability",Assumptions!A:A,0))+1,"",IF(3=INDEX(Assumptions!B:B,MATCH("Years to stability",Assumptions!A:A,0))+1,INDEX(Assumptions!B:B,MATCH("Stable growth rate",Assumptions!A:A,0)),IF(INDEX(Assumptions!B:B,MATCH("Years to stability",Assumptions!A:A,0))=1,INDEX(Assumptions!B:B,MATCH("Revenue growth rate",Assumptions!A:A,0)),IF(3&lt;=INT(INDEX(Assumptions!B:B,MATCH("Years to stability",Assumptions!A:A,0))/2),INDEX(Assumptions!B:B,MATCH("Revenue growth rate",Assumptions!A:A,0)),INDEX(Assumptions!B:B,MATCH("Revenue growth rate",Assumptions!A:A,0))+(((3-INT(INDEX(Assumptions!B:B,MATCH("Years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F6" s="25">
        <f>=IF(4&gt;INDEX(Assumptions!B:B,MATCH("Years to stability",Assumptions!A:A,0))+1,"",IF(4=INDEX(Assumptions!B:B,MATCH("Years to stability",Assumptions!A:A,0))+1,INDEX(Assumptions!B:B,MATCH("Stable growth rate",Assumptions!A:A,0)),IF(INDEX(Assumptions!B:B,MATCH("Years to stability",Assumptions!A:A,0))=1,INDEX(Assumptions!B:B,MATCH("Revenue growth rate",Assumptions!A:A,0)),IF(4&lt;=INT(INDEX(Assumptions!B:B,MATCH("Years to stability",Assumptions!A:A,0))/2),INDEX(Assumptions!B:B,MATCH("Revenue growth rate",Assumptions!A:A,0)),INDEX(Assumptions!B:B,MATCH("Revenue growth rate",Assumptions!A:A,0))+(((4-INT(INDEX(Assumptions!B:B,MATCH("Years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G6" s="25">
        <f>=IF(5&gt;INDEX(Assumptions!B:B,MATCH("Years to stability",Assumptions!A:A,0))+1,"",IF(5=INDEX(Assumptions!B:B,MATCH("Years to stability",Assumptions!A:A,0))+1,INDEX(Assumptions!B:B,MATCH("Stable growth rate",Assumptions!A:A,0)),IF(INDEX(Assumptions!B:B,MATCH("Years to stability",Assumptions!A:A,0))=1,INDEX(Assumptions!B:B,MATCH("Revenue growth rate",Assumptions!A:A,0)),IF(5&lt;=INT(INDEX(Assumptions!B:B,MATCH("Years to stability",Assumptions!A:A,0))/2),INDEX(Assumptions!B:B,MATCH("Revenue growth rate",Assumptions!A:A,0)),INDEX(Assumptions!B:B,MATCH("Revenue growth rate",Assumptions!A:A,0))+(((5-INT(INDEX(Assumptions!B:B,MATCH("Years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H6" s="25">
        <f>=IF(6&gt;INDEX(Assumptions!B:B,MATCH("Years to stability",Assumptions!A:A,0))+1,"",IF(6=INDEX(Assumptions!B:B,MATCH("Years to stability",Assumptions!A:A,0))+1,INDEX(Assumptions!B:B,MATCH("Stable growth rate",Assumptions!A:A,0)),IF(INDEX(Assumptions!B:B,MATCH("Years to stability",Assumptions!A:A,0))=1,INDEX(Assumptions!B:B,MATCH("Revenue growth rate",Assumptions!A:A,0)),IF(6&lt;=INT(INDEX(Assumptions!B:B,MATCH("Years to stability",Assumptions!A:A,0))/2),INDEX(Assumptions!B:B,MATCH("Revenue growth rate",Assumptions!A:A,0)),INDEX(Assumptions!B:B,MATCH("Revenue growth rate",Assumptions!A:A,0))+(((6-INT(INDEX(Assumptions!B:B,MATCH("Years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I6" s="25">
        <f>=IF(7&gt;INDEX(Assumptions!B:B,MATCH("Years to stability",Assumptions!A:A,0))+1,"",IF(7=INDEX(Assumptions!B:B,MATCH("Years to stability",Assumptions!A:A,0))+1,INDEX(Assumptions!B:B,MATCH("Stable growth rate",Assumptions!A:A,0)),IF(INDEX(Assumptions!B:B,MATCH("Years to stability",Assumptions!A:A,0))=1,INDEX(Assumptions!B:B,MATCH("Revenue growth rate",Assumptions!A:A,0)),IF(7&lt;=INT(INDEX(Assumptions!B:B,MATCH("Years to stability",Assumptions!A:A,0))/2),INDEX(Assumptions!B:B,MATCH("Revenue growth rate",Assumptions!A:A,0)),INDEX(Assumptions!B:B,MATCH("Revenue growth rate",Assumptions!A:A,0))+(((7-INT(INDEX(Assumptions!B:B,MATCH("Years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J6" s="25">
        <f>=IF(8&gt;INDEX(Assumptions!B:B,MATCH("Years to stability",Assumptions!A:A,0))+1,"",IF(8=INDEX(Assumptions!B:B,MATCH("Years to stability",Assumptions!A:A,0))+1,INDEX(Assumptions!B:B,MATCH("Stable growth rate",Assumptions!A:A,0)),IF(INDEX(Assumptions!B:B,MATCH("Years to stability",Assumptions!A:A,0))=1,INDEX(Assumptions!B:B,MATCH("Revenue growth rate",Assumptions!A:A,0)),IF(8&lt;=INT(INDEX(Assumptions!B:B,MATCH("Years to stability",Assumptions!A:A,0))/2),INDEX(Assumptions!B:B,MATCH("Revenue growth rate",Assumptions!A:A,0)),INDEX(Assumptions!B:B,MATCH("Revenue growth rate",Assumptions!A:A,0))+(((8-INT(INDEX(Assumptions!B:B,MATCH("Years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K6" s="25">
        <f>=IF(9&gt;INDEX(Assumptions!B:B,MATCH("Years to stability",Assumptions!A:A,0))+1,"",IF(9=INDEX(Assumptions!B:B,MATCH("Years to stability",Assumptions!A:A,0))+1,INDEX(Assumptions!B:B,MATCH("Stable growth rate",Assumptions!A:A,0)),IF(INDEX(Assumptions!B:B,MATCH("Years to stability",Assumptions!A:A,0))=1,INDEX(Assumptions!B:B,MATCH("Revenue growth rate",Assumptions!A:A,0)),IF(9&lt;=INT(INDEX(Assumptions!B:B,MATCH("Years to stability",Assumptions!A:A,0))/2),INDEX(Assumptions!B:B,MATCH("Revenue growth rate",Assumptions!A:A,0)),INDEX(Assumptions!B:B,MATCH("Revenue growth rate",Assumptions!A:A,0))+(((9-INT(INDEX(Assumptions!B:B,MATCH("Years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L6" s="25">
        <f>=IF(10&gt;INDEX(Assumptions!B:B,MATCH("Years to stability",Assumptions!A:A,0))+1,"",IF(10=INDEX(Assumptions!B:B,MATCH("Years to stability",Assumptions!A:A,0))+1,INDEX(Assumptions!B:B,MATCH("Stable growth rate",Assumptions!A:A,0)),IF(INDEX(Assumptions!B:B,MATCH("Years to stability",Assumptions!A:A,0))=1,INDEX(Assumptions!B:B,MATCH("Revenue growth rate",Assumptions!A:A,0)),IF(10&lt;=INT(INDEX(Assumptions!B:B,MATCH("Years to stability",Assumptions!A:A,0))/2),INDEX(Assumptions!B:B,MATCH("Revenue growth rate",Assumptions!A:A,0)),INDEX(Assumptions!B:B,MATCH("Revenue growth rate",Assumptions!A:A,0))+(((10-INT(INDEX(Assumptions!B:B,MATCH("Years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M6" s="25">
        <f>=IF(11&gt;INDEX(Assumptions!B:B,MATCH("Years to stability",Assumptions!A:A,0))+1,"",IF(11=INDEX(Assumptions!B:B,MATCH("Years to stability",Assumptions!A:A,0))+1,INDEX(Assumptions!B:B,MATCH("Stable growth rate",Assumptions!A:A,0)),IF(INDEX(Assumptions!B:B,MATCH("Years to stability",Assumptions!A:A,0))=1,INDEX(Assumptions!B:B,MATCH("Revenue growth rate",Assumptions!A:A,0)),IF(11&lt;=INT(INDEX(Assumptions!B:B,MATCH("Years to stability",Assumptions!A:A,0))/2),INDEX(Assumptions!B:B,MATCH("Revenue growth rate",Assumptions!A:A,0)),INDEX(Assumptions!B:B,MATCH("Revenue growth rate",Assumptions!A:A,0))+(((11-INT(INDEX(Assumptions!B:B,MATCH("Years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N6" s="25">
        <f>=IF(12&gt;INDEX(Assumptions!B:B,MATCH("Years to stability",Assumptions!A:A,0))+1,"",IF(12=INDEX(Assumptions!B:B,MATCH("Years to stability",Assumptions!A:A,0))+1,INDEX(Assumptions!B:B,MATCH("Stable growth rate",Assumptions!A:A,0)),IF(INDEX(Assumptions!B:B,MATCH("Years to stability",Assumptions!A:A,0))=1,INDEX(Assumptions!B:B,MATCH("Revenue growth rate",Assumptions!A:A,0)),IF(12&lt;=INT(INDEX(Assumptions!B:B,MATCH("Years to stability",Assumptions!A:A,0))/2),INDEX(Assumptions!B:B,MATCH("Revenue growth rate",Assumptions!A:A,0)),INDEX(Assumptions!B:B,MATCH("Revenue growth rate",Assumptions!A:A,0))+(((12-INT(INDEX(Assumptions!B:B,MATCH("Years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O6" s="25">
        <f>=IF(13&gt;INDEX(Assumptions!B:B,MATCH("Years to stability",Assumptions!A:A,0))+1,"",IF(13=INDEX(Assumptions!B:B,MATCH("Years to stability",Assumptions!A:A,0))+1,INDEX(Assumptions!B:B,MATCH("Stable growth rate",Assumptions!A:A,0)),IF(INDEX(Assumptions!B:B,MATCH("Years to stability",Assumptions!A:A,0))=1,INDEX(Assumptions!B:B,MATCH("Revenue growth rate",Assumptions!A:A,0)),IF(13&lt;=INT(INDEX(Assumptions!B:B,MATCH("Years to stability",Assumptions!A:A,0))/2),INDEX(Assumptions!B:B,MATCH("Revenue growth rate",Assumptions!A:A,0)),INDEX(Assumptions!B:B,MATCH("Revenue growth rate",Assumptions!A:A,0))+(((13-INT(INDEX(Assumptions!B:B,MATCH("Years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P6" s="25">
        <f>=IF(14&gt;INDEX(Assumptions!B:B,MATCH("Years to stability",Assumptions!A:A,0))+1,"",IF(14=INDEX(Assumptions!B:B,MATCH("Years to stability",Assumptions!A:A,0))+1,INDEX(Assumptions!B:B,MATCH("Stable growth rate",Assumptions!A:A,0)),IF(INDEX(Assumptions!B:B,MATCH("Years to stability",Assumptions!A:A,0))=1,INDEX(Assumptions!B:B,MATCH("Revenue growth rate",Assumptions!A:A,0)),IF(14&lt;=INT(INDEX(Assumptions!B:B,MATCH("Years to stability",Assumptions!A:A,0))/2),INDEX(Assumptions!B:B,MATCH("Revenue growth rate",Assumptions!A:A,0)),INDEX(Assumptions!B:B,MATCH("Revenue growth rate",Assumptions!A:A,0))+(((14-INT(INDEX(Assumptions!B:B,MATCH("Years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Q6" s="25">
        <f>=IF(15&gt;INDEX(Assumptions!B:B,MATCH("Years to stability",Assumptions!A:A,0))+1,"",IF(15=INDEX(Assumptions!B:B,MATCH("Years to stability",Assumptions!A:A,0))+1,INDEX(Assumptions!B:B,MATCH("Stable growth rate",Assumptions!A:A,0)),IF(INDEX(Assumptions!B:B,MATCH("Years to stability",Assumptions!A:A,0))=1,INDEX(Assumptions!B:B,MATCH("Revenue growth rate",Assumptions!A:A,0)),IF(15&lt;=INT(INDEX(Assumptions!B:B,MATCH("Years to stability",Assumptions!A:A,0))/2),INDEX(Assumptions!B:B,MATCH("Revenue growth rate",Assumptions!A:A,0)),INDEX(Assumptions!B:B,MATCH("Revenue growth rate",Assumptions!A:A,0))+(((15-INT(INDEX(Assumptions!B:B,MATCH("Years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R6" s="25">
        <f>=IF(16&gt;INDEX(Assumptions!B:B,MATCH("Years to stability",Assumptions!A:A,0))+1,"",IF(16=INDEX(Assumptions!B:B,MATCH("Years to stability",Assumptions!A:A,0))+1,INDEX(Assumptions!B:B,MATCH("Stable growth rate",Assumptions!A:A,0)),IF(INDEX(Assumptions!B:B,MATCH("Years to stability",Assumptions!A:A,0))=1,INDEX(Assumptions!B:B,MATCH("Revenue growth rate",Assumptions!A:A,0)),IF(16&lt;=INT(INDEX(Assumptions!B:B,MATCH("Years to stability",Assumptions!A:A,0))/2),INDEX(Assumptions!B:B,MATCH("Revenue growth rate",Assumptions!A:A,0)),INDEX(Assumptions!B:B,MATCH("Revenue growth rate",Assumptions!A:A,0))+(((16-INT(INDEX(Assumptions!B:B,MATCH("Years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S6" s="25">
        <f>=IF(17&gt;INDEX(Assumptions!B:B,MATCH("Years to stability",Assumptions!A:A,0))+1,"",IF(17=INDEX(Assumptions!B:B,MATCH("Years to stability",Assumptions!A:A,0))+1,INDEX(Assumptions!B:B,MATCH("Stable growth rate",Assumptions!A:A,0)),IF(INDEX(Assumptions!B:B,MATCH("Years to stability",Assumptions!A:A,0))=1,INDEX(Assumptions!B:B,MATCH("Revenue growth rate",Assumptions!A:A,0)),IF(17&lt;=INT(INDEX(Assumptions!B:B,MATCH("Years to stability",Assumptions!A:A,0))/2),INDEX(Assumptions!B:B,MATCH("Revenue growth rate",Assumptions!A:A,0)),INDEX(Assumptions!B:B,MATCH("Revenue growth rate",Assumptions!A:A,0))+(((17-INT(INDEX(Assumptions!B:B,MATCH("Years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T6" s="25">
        <f>=IF(18&gt;INDEX(Assumptions!B:B,MATCH("Years to stability",Assumptions!A:A,0))+1,"",IF(18=INDEX(Assumptions!B:B,MATCH("Years to stability",Assumptions!A:A,0))+1,INDEX(Assumptions!B:B,MATCH("Stable growth rate",Assumptions!A:A,0)),IF(INDEX(Assumptions!B:B,MATCH("Years to stability",Assumptions!A:A,0))=1,INDEX(Assumptions!B:B,MATCH("Revenue growth rate",Assumptions!A:A,0)),IF(18&lt;=INT(INDEX(Assumptions!B:B,MATCH("Years to stability",Assumptions!A:A,0))/2),INDEX(Assumptions!B:B,MATCH("Revenue growth rate",Assumptions!A:A,0)),INDEX(Assumptions!B:B,MATCH("Revenue growth rate",Assumptions!A:A,0))+(((18-INT(INDEX(Assumptions!B:B,MATCH("Years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U6" s="25">
        <f>=IF(19&gt;INDEX(Assumptions!B:B,MATCH("Years to stability",Assumptions!A:A,0))+1,"",IF(19=INDEX(Assumptions!B:B,MATCH("Years to stability",Assumptions!A:A,0))+1,INDEX(Assumptions!B:B,MATCH("Stable growth rate",Assumptions!A:A,0)),IF(INDEX(Assumptions!B:B,MATCH("Years to stability",Assumptions!A:A,0))=1,INDEX(Assumptions!B:B,MATCH("Revenue growth rate",Assumptions!A:A,0)),IF(19&lt;=INT(INDEX(Assumptions!B:B,MATCH("Years to stability",Assumptions!A:A,0))/2),INDEX(Assumptions!B:B,MATCH("Revenue growth rate",Assumptions!A:A,0)),INDEX(Assumptions!B:B,MATCH("Revenue growth rate",Assumptions!A:A,0))+(((19-INT(INDEX(Assumptions!B:B,MATCH("Years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V6" s="25">
        <f>=IF(20&gt;INDEX(Assumptions!B:B,MATCH("Years to stability",Assumptions!A:A,0))+1,"",IF(20=INDEX(Assumptions!B:B,MATCH("Years to stability",Assumptions!A:A,0))+1,INDEX(Assumptions!B:B,MATCH("Stable growth rate",Assumptions!A:A,0)),IF(INDEX(Assumptions!B:B,MATCH("Years to stability",Assumptions!A:A,0))=1,INDEX(Assumptions!B:B,MATCH("Revenue growth rate",Assumptions!A:A,0)),IF(20&lt;=INT(INDEX(Assumptions!B:B,MATCH("Years to stability",Assumptions!A:A,0))/2),INDEX(Assumptions!B:B,MATCH("Revenue growth rate",Assumptions!A:A,0)),INDEX(Assumptions!B:B,MATCH("Revenue growth rate",Assumptions!A:A,0))+(((20-INT(INDEX(Assumptions!B:B,MATCH("Years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W6" s="25">
        <f>=IF(21&gt;INDEX(Assumptions!B:B,MATCH("Years to stability",Assumptions!A:A,0))+1,"",IF(21=INDEX(Assumptions!B:B,MATCH("Years to stability",Assumptions!A:A,0))+1,INDEX(Assumptions!B:B,MATCH("Stable growth rate",Assumptions!A:A,0)),IF(INDEX(Assumptions!B:B,MATCH("Years to stability",Assumptions!A:A,0))=1,INDEX(Assumptions!B:B,MATCH("Revenue growth rate",Assumptions!A:A,0)),IF(21&lt;=INT(INDEX(Assumptions!B:B,MATCH("Years to stability",Assumptions!A:A,0))/2),INDEX(Assumptions!B:B,MATCH("Revenue growth rate",Assumptions!A:A,0)),INDEX(Assumptions!B:B,MATCH("Revenue growth rate",Assumptions!A:A,0))+(((21-INT(INDEX(Assumptions!B:B,MATCH("Years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row>
    <row r="7" spans="1:23" x14ac:dyDescent="0.25">
      <c r="A7" s="11" t="s">
        <v>67</v>
      </c>
      <c r="B7" s="24">
        <f>=B5-B8</f>
      </c>
      <c r="C7" s="24">
        <f>=IF(1&lt;=INDEX(Assumptions!B:B,MATCH("Years to stability",Assumptions!A:A,0))+1,C5-C8,"")</f>
      </c>
      <c r="D7" s="24">
        <f>=IF(2&lt;=INDEX(Assumptions!B:B,MATCH("Years to stability",Assumptions!A:A,0))+1,D5-D8,"")</f>
      </c>
      <c r="E7" s="24">
        <f>=IF(3&lt;=INDEX(Assumptions!B:B,MATCH("Years to stability",Assumptions!A:A,0))+1,E5-E8,"")</f>
      </c>
      <c r="F7" s="24">
        <f>=IF(4&lt;=INDEX(Assumptions!B:B,MATCH("Years to stability",Assumptions!A:A,0))+1,F5-F8,"")</f>
      </c>
      <c r="G7" s="24">
        <f>=IF(5&lt;=INDEX(Assumptions!B:B,MATCH("Years to stability",Assumptions!A:A,0))+1,G5-G8,"")</f>
      </c>
      <c r="H7" s="24">
        <f>=IF(6&lt;=INDEX(Assumptions!B:B,MATCH("Years to stability",Assumptions!A:A,0))+1,H5-H8,"")</f>
      </c>
      <c r="I7" s="24">
        <f>=IF(7&lt;=INDEX(Assumptions!B:B,MATCH("Years to stability",Assumptions!A:A,0))+1,I5-I8,"")</f>
      </c>
      <c r="J7" s="24">
        <f>=IF(8&lt;=INDEX(Assumptions!B:B,MATCH("Years to stability",Assumptions!A:A,0))+1,J5-J8,"")</f>
      </c>
      <c r="K7" s="24">
        <f>=IF(9&lt;=INDEX(Assumptions!B:B,MATCH("Years to stability",Assumptions!A:A,0))+1,K5-K8,"")</f>
      </c>
      <c r="L7" s="24">
        <f>=IF(10&lt;=INDEX(Assumptions!B:B,MATCH("Years to stability",Assumptions!A:A,0))+1,L5-L8,"")</f>
      </c>
      <c r="M7" s="24">
        <f>=IF(11&lt;=INDEX(Assumptions!B:B,MATCH("Years to stability",Assumptions!A:A,0))+1,M5-M8,"")</f>
      </c>
      <c r="N7" s="24">
        <f>=IF(12&lt;=INDEX(Assumptions!B:B,MATCH("Years to stability",Assumptions!A:A,0))+1,N5-N8,"")</f>
      </c>
      <c r="O7" s="24">
        <f>=IF(13&lt;=INDEX(Assumptions!B:B,MATCH("Years to stability",Assumptions!A:A,0))+1,O5-O8,"")</f>
      </c>
      <c r="P7" s="24">
        <f>=IF(14&lt;=INDEX(Assumptions!B:B,MATCH("Years to stability",Assumptions!A:A,0))+1,P5-P8,"")</f>
      </c>
      <c r="Q7" s="24">
        <f>=IF(15&lt;=INDEX(Assumptions!B:B,MATCH("Years to stability",Assumptions!A:A,0))+1,Q5-Q8,"")</f>
      </c>
      <c r="R7" s="24">
        <f>=IF(16&lt;=INDEX(Assumptions!B:B,MATCH("Years to stability",Assumptions!A:A,0))+1,R5-R8,"")</f>
      </c>
      <c r="S7" s="24">
        <f>=IF(17&lt;=INDEX(Assumptions!B:B,MATCH("Years to stability",Assumptions!A:A,0))+1,S5-S8,"")</f>
      </c>
      <c r="T7" s="24">
        <f>=IF(18&lt;=INDEX(Assumptions!B:B,MATCH("Years to stability",Assumptions!A:A,0))+1,T5-T8,"")</f>
      </c>
      <c r="U7" s="24">
        <f>=IF(19&lt;=INDEX(Assumptions!B:B,MATCH("Years to stability",Assumptions!A:A,0))+1,U5-U8,"")</f>
      </c>
      <c r="V7" s="24">
        <f>=IF(20&lt;=INDEX(Assumptions!B:B,MATCH("Years to stability",Assumptions!A:A,0))+1,V5-V8,"")</f>
      </c>
      <c r="W7" s="24">
        <f>=IF(21&lt;=INDEX(Assumptions!B:B,MATCH("Years to stability",Assumptions!A:A,0))+1,W5-W8,"")</f>
      </c>
    </row>
    <row r="8" spans="1:23" x14ac:dyDescent="0.25">
      <c r="A8" s="11" t="s">
        <v>68</v>
      </c>
      <c r="B8" s="24">
        <f>=INDEX(Financials!B:B,MATCH("Adjusted Net Profit",Financials!A:A,0))</f>
      </c>
      <c r="C8" s="24">
        <f>=IF(1&lt;=INDEX(Assumptions!B:B,MATCH("Years to stability",Assumptions!A:A,0))+1,C5*C9,"")</f>
      </c>
      <c r="D8" s="24">
        <f>=IF(2&lt;=INDEX(Assumptions!B:B,MATCH("Years to stability",Assumptions!A:A,0))+1,D5*D9,"")</f>
      </c>
      <c r="E8" s="24">
        <f>=IF(3&lt;=INDEX(Assumptions!B:B,MATCH("Years to stability",Assumptions!A:A,0))+1,E5*E9,"")</f>
      </c>
      <c r="F8" s="24">
        <f>=IF(4&lt;=INDEX(Assumptions!B:B,MATCH("Years to stability",Assumptions!A:A,0))+1,F5*F9,"")</f>
      </c>
      <c r="G8" s="24">
        <f>=IF(5&lt;=INDEX(Assumptions!B:B,MATCH("Years to stability",Assumptions!A:A,0))+1,G5*G9,"")</f>
      </c>
      <c r="H8" s="24">
        <f>=IF(6&lt;=INDEX(Assumptions!B:B,MATCH("Years to stability",Assumptions!A:A,0))+1,H5*H9,"")</f>
      </c>
      <c r="I8" s="24">
        <f>=IF(7&lt;=INDEX(Assumptions!B:B,MATCH("Years to stability",Assumptions!A:A,0))+1,I5*I9,"")</f>
      </c>
      <c r="J8" s="24">
        <f>=IF(8&lt;=INDEX(Assumptions!B:B,MATCH("Years to stability",Assumptions!A:A,0))+1,J5*J9,"")</f>
      </c>
      <c r="K8" s="24">
        <f>=IF(9&lt;=INDEX(Assumptions!B:B,MATCH("Years to stability",Assumptions!A:A,0))+1,K5*K9,"")</f>
      </c>
      <c r="L8" s="24">
        <f>=IF(10&lt;=INDEX(Assumptions!B:B,MATCH("Years to stability",Assumptions!A:A,0))+1,L5*L9,"")</f>
      </c>
      <c r="M8" s="24">
        <f>=IF(11&lt;=INDEX(Assumptions!B:B,MATCH("Years to stability",Assumptions!A:A,0))+1,M5*M9,"")</f>
      </c>
      <c r="N8" s="24">
        <f>=IF(12&lt;=INDEX(Assumptions!B:B,MATCH("Years to stability",Assumptions!A:A,0))+1,N5*N9,"")</f>
      </c>
      <c r="O8" s="24">
        <f>=IF(13&lt;=INDEX(Assumptions!B:B,MATCH("Years to stability",Assumptions!A:A,0))+1,O5*O9,"")</f>
      </c>
      <c r="P8" s="24">
        <f>=IF(14&lt;=INDEX(Assumptions!B:B,MATCH("Years to stability",Assumptions!A:A,0))+1,P5*P9,"")</f>
      </c>
      <c r="Q8" s="24">
        <f>=IF(15&lt;=INDEX(Assumptions!B:B,MATCH("Years to stability",Assumptions!A:A,0))+1,Q5*Q9,"")</f>
      </c>
      <c r="R8" s="24">
        <f>=IF(16&lt;=INDEX(Assumptions!B:B,MATCH("Years to stability",Assumptions!A:A,0))+1,R5*R9,"")</f>
      </c>
      <c r="S8" s="24">
        <f>=IF(17&lt;=INDEX(Assumptions!B:B,MATCH("Years to stability",Assumptions!A:A,0))+1,S5*S9,"")</f>
      </c>
      <c r="T8" s="24">
        <f>=IF(18&lt;=INDEX(Assumptions!B:B,MATCH("Years to stability",Assumptions!A:A,0))+1,T5*T9,"")</f>
      </c>
      <c r="U8" s="24">
        <f>=IF(19&lt;=INDEX(Assumptions!B:B,MATCH("Years to stability",Assumptions!A:A,0))+1,U5*U9,"")</f>
      </c>
      <c r="V8" s="24">
        <f>=IF(20&lt;=INDEX(Assumptions!B:B,MATCH("Years to stability",Assumptions!A:A,0))+1,V5*V9,"")</f>
      </c>
      <c r="W8" s="24">
        <f>=IF(21&lt;=INDEX(Assumptions!B:B,MATCH("Years to stability",Assumptions!A:A,0))+1,W5*W9,"")</f>
      </c>
    </row>
    <row r="9" spans="1:23" x14ac:dyDescent="0.25">
      <c r="A9" s="11" t="s">
        <v>69</v>
      </c>
      <c r="B9" s="25">
        <f>=INDEX(Financials!B:B,MATCH("Margin",Financials!A:A,0))</f>
      </c>
      <c r="C9" s="25">
        <f>=IF(1&gt;INDEX(Assumptions!B:B,MATCH("Years to stability",Assumptions!A:A,0))+1,"",IF(INDEX(Assumptions!B:B,MATCH("Margin convergence",Assumptions!A:A,0))=0,INDEX(Assumptions!B:B,MATCH("FY+1 net profit margin",Assumptions!A:A,0))+IF(INDEX(Assumptions!B:B,MATCH("Margin convergence",Assumptions!A:A,0))=0,(1-1)/(INDEX(Assumptions!B:B,MATCH("Years to stability",Assumptions!A:A,0))-1),MIN(1-1,INDEX(Assumptions!B:B,MATCH("Margin convergence",Assumptions!A:A,0)))/INDEX(Assumptions!B:B,MATCH("Margin convergence",Assumptions!A:A,0)))*(INDEX(Assumptions!B:B,MATCH("Stable net profit margin",Assumptions!A:A,0))-INDEX(Assumptions!B:B,MATCH("FY+1 net profit margin",Assumptions!A:A,0))),IF(1-1&gt;=INDEX(Assumptions!B:B,MATCH("Margin convergence",Assumptions!A:A,0)),INDEX(Assumptions!B:B,MATCH("Stable net profit margin",Assumptions!A:A,0)),INDEX(Assumptions!B:B,MATCH("FY+1 net profit margin",Assumptions!A:A,0))+IF(INDEX(Assumptions!B:B,MATCH("Margin convergence",Assumptions!A:A,0))=0,(1-1)/(INDEX(Assumptions!B:B,MATCH("Years to stability",Assumptions!A:A,0))-1),MIN(1-1,INDEX(Assumptions!B:B,MATCH("Margin convergence",Assumptions!A:A,0)))/INDEX(Assumptions!B:B,MATCH("Margin convergence",Assumptions!A:A,0)))*(INDEX(Assumptions!B:B,MATCH("Stable net profit margin",Assumptions!A:A,0))-INDEX(Assumptions!B:B,MATCH("FY+1 net profit margin",Assumptions!A:A,0))))))</f>
      </c>
      <c r="D9" s="25">
        <f>=IF(2&gt;INDEX(Assumptions!B:B,MATCH("Years to stability",Assumptions!A:A,0))+1,"",IF(INDEX(Assumptions!B:B,MATCH("Margin convergence",Assumptions!A:A,0))=0,INDEX(Assumptions!B:B,MATCH("FY+1 net profit margin",Assumptions!A:A,0))+IF(INDEX(Assumptions!B:B,MATCH("Margin convergence",Assumptions!A:A,0))=0,(2-1)/(INDEX(Assumptions!B:B,MATCH("Years to stability",Assumptions!A:A,0))-1),MIN(2-1,INDEX(Assumptions!B:B,MATCH("Margin convergence",Assumptions!A:A,0)))/INDEX(Assumptions!B:B,MATCH("Margin convergence",Assumptions!A:A,0)))*(INDEX(Assumptions!B:B,MATCH("Stable net profit margin",Assumptions!A:A,0))-INDEX(Assumptions!B:B,MATCH("FY+1 net profit margin",Assumptions!A:A,0))),IF(2-1&gt;=INDEX(Assumptions!B:B,MATCH("Margin convergence",Assumptions!A:A,0)),INDEX(Assumptions!B:B,MATCH("Stable net profit margin",Assumptions!A:A,0)),INDEX(Assumptions!B:B,MATCH("FY+1 net profit margin",Assumptions!A:A,0))+IF(INDEX(Assumptions!B:B,MATCH("Margin convergence",Assumptions!A:A,0))=0,(2-1)/(INDEX(Assumptions!B:B,MATCH("Years to stability",Assumptions!A:A,0))-1),MIN(2-1,INDEX(Assumptions!B:B,MATCH("Margin convergence",Assumptions!A:A,0)))/INDEX(Assumptions!B:B,MATCH("Margin convergence",Assumptions!A:A,0)))*(INDEX(Assumptions!B:B,MATCH("Stable net profit margin",Assumptions!A:A,0))-INDEX(Assumptions!B:B,MATCH("FY+1 net profit margin",Assumptions!A:A,0))))))</f>
      </c>
      <c r="E9" s="25">
        <f>=IF(3&gt;INDEX(Assumptions!B:B,MATCH("Years to stability",Assumptions!A:A,0))+1,"",IF(INDEX(Assumptions!B:B,MATCH("Margin convergence",Assumptions!A:A,0))=0,INDEX(Assumptions!B:B,MATCH("FY+1 net profit margin",Assumptions!A:A,0))+IF(INDEX(Assumptions!B:B,MATCH("Margin convergence",Assumptions!A:A,0))=0,(3-1)/(INDEX(Assumptions!B:B,MATCH("Years to stability",Assumptions!A:A,0))-1),MIN(3-1,INDEX(Assumptions!B:B,MATCH("Margin convergence",Assumptions!A:A,0)))/INDEX(Assumptions!B:B,MATCH("Margin convergence",Assumptions!A:A,0)))*(INDEX(Assumptions!B:B,MATCH("Stable net profit margin",Assumptions!A:A,0))-INDEX(Assumptions!B:B,MATCH("FY+1 net profit margin",Assumptions!A:A,0))),IF(3-1&gt;=INDEX(Assumptions!B:B,MATCH("Margin convergence",Assumptions!A:A,0)),INDEX(Assumptions!B:B,MATCH("Stable net profit margin",Assumptions!A:A,0)),INDEX(Assumptions!B:B,MATCH("FY+1 net profit margin",Assumptions!A:A,0))+IF(INDEX(Assumptions!B:B,MATCH("Margin convergence",Assumptions!A:A,0))=0,(3-1)/(INDEX(Assumptions!B:B,MATCH("Years to stability",Assumptions!A:A,0))-1),MIN(3-1,INDEX(Assumptions!B:B,MATCH("Margin convergence",Assumptions!A:A,0)))/INDEX(Assumptions!B:B,MATCH("Margin convergence",Assumptions!A:A,0)))*(INDEX(Assumptions!B:B,MATCH("Stable net profit margin",Assumptions!A:A,0))-INDEX(Assumptions!B:B,MATCH("FY+1 net profit margin",Assumptions!A:A,0))))))</f>
      </c>
      <c r="F9" s="25">
        <f>=IF(4&gt;INDEX(Assumptions!B:B,MATCH("Years to stability",Assumptions!A:A,0))+1,"",IF(INDEX(Assumptions!B:B,MATCH("Margin convergence",Assumptions!A:A,0))=0,INDEX(Assumptions!B:B,MATCH("FY+1 net profit margin",Assumptions!A:A,0))+IF(INDEX(Assumptions!B:B,MATCH("Margin convergence",Assumptions!A:A,0))=0,(4-1)/(INDEX(Assumptions!B:B,MATCH("Years to stability",Assumptions!A:A,0))-1),MIN(4-1,INDEX(Assumptions!B:B,MATCH("Margin convergence",Assumptions!A:A,0)))/INDEX(Assumptions!B:B,MATCH("Margin convergence",Assumptions!A:A,0)))*(INDEX(Assumptions!B:B,MATCH("Stable net profit margin",Assumptions!A:A,0))-INDEX(Assumptions!B:B,MATCH("FY+1 net profit margin",Assumptions!A:A,0))),IF(4-1&gt;=INDEX(Assumptions!B:B,MATCH("Margin convergence",Assumptions!A:A,0)),INDEX(Assumptions!B:B,MATCH("Stable net profit margin",Assumptions!A:A,0)),INDEX(Assumptions!B:B,MATCH("FY+1 net profit margin",Assumptions!A:A,0))+IF(INDEX(Assumptions!B:B,MATCH("Margin convergence",Assumptions!A:A,0))=0,(4-1)/(INDEX(Assumptions!B:B,MATCH("Years to stability",Assumptions!A:A,0))-1),MIN(4-1,INDEX(Assumptions!B:B,MATCH("Margin convergence",Assumptions!A:A,0)))/INDEX(Assumptions!B:B,MATCH("Margin convergence",Assumptions!A:A,0)))*(INDEX(Assumptions!B:B,MATCH("Stable net profit margin",Assumptions!A:A,0))-INDEX(Assumptions!B:B,MATCH("FY+1 net profit margin",Assumptions!A:A,0))))))</f>
      </c>
      <c r="G9" s="25">
        <f>=IF(5&gt;INDEX(Assumptions!B:B,MATCH("Years to stability",Assumptions!A:A,0))+1,"",IF(INDEX(Assumptions!B:B,MATCH("Margin convergence",Assumptions!A:A,0))=0,INDEX(Assumptions!B:B,MATCH("FY+1 net profit margin",Assumptions!A:A,0))+IF(INDEX(Assumptions!B:B,MATCH("Margin convergence",Assumptions!A:A,0))=0,(5-1)/(INDEX(Assumptions!B:B,MATCH("Years to stability",Assumptions!A:A,0))-1),MIN(5-1,INDEX(Assumptions!B:B,MATCH("Margin convergence",Assumptions!A:A,0)))/INDEX(Assumptions!B:B,MATCH("Margin convergence",Assumptions!A:A,0)))*(INDEX(Assumptions!B:B,MATCH("Stable net profit margin",Assumptions!A:A,0))-INDEX(Assumptions!B:B,MATCH("FY+1 net profit margin",Assumptions!A:A,0))),IF(5-1&gt;=INDEX(Assumptions!B:B,MATCH("Margin convergence",Assumptions!A:A,0)),INDEX(Assumptions!B:B,MATCH("Stable net profit margin",Assumptions!A:A,0)),INDEX(Assumptions!B:B,MATCH("FY+1 net profit margin",Assumptions!A:A,0))+IF(INDEX(Assumptions!B:B,MATCH("Margin convergence",Assumptions!A:A,0))=0,(5-1)/(INDEX(Assumptions!B:B,MATCH("Years to stability",Assumptions!A:A,0))-1),MIN(5-1,INDEX(Assumptions!B:B,MATCH("Margin convergence",Assumptions!A:A,0)))/INDEX(Assumptions!B:B,MATCH("Margin convergence",Assumptions!A:A,0)))*(INDEX(Assumptions!B:B,MATCH("Stable net profit margin",Assumptions!A:A,0))-INDEX(Assumptions!B:B,MATCH("FY+1 net profit margin",Assumptions!A:A,0))))))</f>
      </c>
      <c r="H9" s="25">
        <f>=IF(6&gt;INDEX(Assumptions!B:B,MATCH("Years to stability",Assumptions!A:A,0))+1,"",IF(INDEX(Assumptions!B:B,MATCH("Margin convergence",Assumptions!A:A,0))=0,INDEX(Assumptions!B:B,MATCH("FY+1 net profit margin",Assumptions!A:A,0))+IF(INDEX(Assumptions!B:B,MATCH("Margin convergence",Assumptions!A:A,0))=0,(6-1)/(INDEX(Assumptions!B:B,MATCH("Years to stability",Assumptions!A:A,0))-1),MIN(6-1,INDEX(Assumptions!B:B,MATCH("Margin convergence",Assumptions!A:A,0)))/INDEX(Assumptions!B:B,MATCH("Margin convergence",Assumptions!A:A,0)))*(INDEX(Assumptions!B:B,MATCH("Stable net profit margin",Assumptions!A:A,0))-INDEX(Assumptions!B:B,MATCH("FY+1 net profit margin",Assumptions!A:A,0))),IF(6-1&gt;=INDEX(Assumptions!B:B,MATCH("Margin convergence",Assumptions!A:A,0)),INDEX(Assumptions!B:B,MATCH("Stable net profit margin",Assumptions!A:A,0)),INDEX(Assumptions!B:B,MATCH("FY+1 net profit margin",Assumptions!A:A,0))+IF(INDEX(Assumptions!B:B,MATCH("Margin convergence",Assumptions!A:A,0))=0,(6-1)/(INDEX(Assumptions!B:B,MATCH("Years to stability",Assumptions!A:A,0))-1),MIN(6-1,INDEX(Assumptions!B:B,MATCH("Margin convergence",Assumptions!A:A,0)))/INDEX(Assumptions!B:B,MATCH("Margin convergence",Assumptions!A:A,0)))*(INDEX(Assumptions!B:B,MATCH("Stable net profit margin",Assumptions!A:A,0))-INDEX(Assumptions!B:B,MATCH("FY+1 net profit margin",Assumptions!A:A,0))))))</f>
      </c>
      <c r="I9" s="25">
        <f>=IF(7&gt;INDEX(Assumptions!B:B,MATCH("Years to stability",Assumptions!A:A,0))+1,"",IF(INDEX(Assumptions!B:B,MATCH("Margin convergence",Assumptions!A:A,0))=0,INDEX(Assumptions!B:B,MATCH("FY+1 net profit margin",Assumptions!A:A,0))+IF(INDEX(Assumptions!B:B,MATCH("Margin convergence",Assumptions!A:A,0))=0,(7-1)/(INDEX(Assumptions!B:B,MATCH("Years to stability",Assumptions!A:A,0))-1),MIN(7-1,INDEX(Assumptions!B:B,MATCH("Margin convergence",Assumptions!A:A,0)))/INDEX(Assumptions!B:B,MATCH("Margin convergence",Assumptions!A:A,0)))*(INDEX(Assumptions!B:B,MATCH("Stable net profit margin",Assumptions!A:A,0))-INDEX(Assumptions!B:B,MATCH("FY+1 net profit margin",Assumptions!A:A,0))),IF(7-1&gt;=INDEX(Assumptions!B:B,MATCH("Margin convergence",Assumptions!A:A,0)),INDEX(Assumptions!B:B,MATCH("Stable net profit margin",Assumptions!A:A,0)),INDEX(Assumptions!B:B,MATCH("FY+1 net profit margin",Assumptions!A:A,0))+IF(INDEX(Assumptions!B:B,MATCH("Margin convergence",Assumptions!A:A,0))=0,(7-1)/(INDEX(Assumptions!B:B,MATCH("Years to stability",Assumptions!A:A,0))-1),MIN(7-1,INDEX(Assumptions!B:B,MATCH("Margin convergence",Assumptions!A:A,0)))/INDEX(Assumptions!B:B,MATCH("Margin convergence",Assumptions!A:A,0)))*(INDEX(Assumptions!B:B,MATCH("Stable net profit margin",Assumptions!A:A,0))-INDEX(Assumptions!B:B,MATCH("FY+1 net profit margin",Assumptions!A:A,0))))))</f>
      </c>
      <c r="J9" s="25">
        <f>=IF(8&gt;INDEX(Assumptions!B:B,MATCH("Years to stability",Assumptions!A:A,0))+1,"",IF(INDEX(Assumptions!B:B,MATCH("Margin convergence",Assumptions!A:A,0))=0,INDEX(Assumptions!B:B,MATCH("FY+1 net profit margin",Assumptions!A:A,0))+IF(INDEX(Assumptions!B:B,MATCH("Margin convergence",Assumptions!A:A,0))=0,(8-1)/(INDEX(Assumptions!B:B,MATCH("Years to stability",Assumptions!A:A,0))-1),MIN(8-1,INDEX(Assumptions!B:B,MATCH("Margin convergence",Assumptions!A:A,0)))/INDEX(Assumptions!B:B,MATCH("Margin convergence",Assumptions!A:A,0)))*(INDEX(Assumptions!B:B,MATCH("Stable net profit margin",Assumptions!A:A,0))-INDEX(Assumptions!B:B,MATCH("FY+1 net profit margin",Assumptions!A:A,0))),IF(8-1&gt;=INDEX(Assumptions!B:B,MATCH("Margin convergence",Assumptions!A:A,0)),INDEX(Assumptions!B:B,MATCH("Stable net profit margin",Assumptions!A:A,0)),INDEX(Assumptions!B:B,MATCH("FY+1 net profit margin",Assumptions!A:A,0))+IF(INDEX(Assumptions!B:B,MATCH("Margin convergence",Assumptions!A:A,0))=0,(8-1)/(INDEX(Assumptions!B:B,MATCH("Years to stability",Assumptions!A:A,0))-1),MIN(8-1,INDEX(Assumptions!B:B,MATCH("Margin convergence",Assumptions!A:A,0)))/INDEX(Assumptions!B:B,MATCH("Margin convergence",Assumptions!A:A,0)))*(INDEX(Assumptions!B:B,MATCH("Stable net profit margin",Assumptions!A:A,0))-INDEX(Assumptions!B:B,MATCH("FY+1 net profit margin",Assumptions!A:A,0))))))</f>
      </c>
      <c r="K9" s="25">
        <f>=IF(9&gt;INDEX(Assumptions!B:B,MATCH("Years to stability",Assumptions!A:A,0))+1,"",IF(INDEX(Assumptions!B:B,MATCH("Margin convergence",Assumptions!A:A,0))=0,INDEX(Assumptions!B:B,MATCH("FY+1 net profit margin",Assumptions!A:A,0))+IF(INDEX(Assumptions!B:B,MATCH("Margin convergence",Assumptions!A:A,0))=0,(9-1)/(INDEX(Assumptions!B:B,MATCH("Years to stability",Assumptions!A:A,0))-1),MIN(9-1,INDEX(Assumptions!B:B,MATCH("Margin convergence",Assumptions!A:A,0)))/INDEX(Assumptions!B:B,MATCH("Margin convergence",Assumptions!A:A,0)))*(INDEX(Assumptions!B:B,MATCH("Stable net profit margin",Assumptions!A:A,0))-INDEX(Assumptions!B:B,MATCH("FY+1 net profit margin",Assumptions!A:A,0))),IF(9-1&gt;=INDEX(Assumptions!B:B,MATCH("Margin convergence",Assumptions!A:A,0)),INDEX(Assumptions!B:B,MATCH("Stable net profit margin",Assumptions!A:A,0)),INDEX(Assumptions!B:B,MATCH("FY+1 net profit margin",Assumptions!A:A,0))+IF(INDEX(Assumptions!B:B,MATCH("Margin convergence",Assumptions!A:A,0))=0,(9-1)/(INDEX(Assumptions!B:B,MATCH("Years to stability",Assumptions!A:A,0))-1),MIN(9-1,INDEX(Assumptions!B:B,MATCH("Margin convergence",Assumptions!A:A,0)))/INDEX(Assumptions!B:B,MATCH("Margin convergence",Assumptions!A:A,0)))*(INDEX(Assumptions!B:B,MATCH("Stable net profit margin",Assumptions!A:A,0))-INDEX(Assumptions!B:B,MATCH("FY+1 net profit margin",Assumptions!A:A,0))))))</f>
      </c>
      <c r="L9" s="25">
        <f>=IF(10&gt;INDEX(Assumptions!B:B,MATCH("Years to stability",Assumptions!A:A,0))+1,"",IF(INDEX(Assumptions!B:B,MATCH("Margin convergence",Assumptions!A:A,0))=0,INDEX(Assumptions!B:B,MATCH("FY+1 net profit margin",Assumptions!A:A,0))+IF(INDEX(Assumptions!B:B,MATCH("Margin convergence",Assumptions!A:A,0))=0,(10-1)/(INDEX(Assumptions!B:B,MATCH("Years to stability",Assumptions!A:A,0))-1),MIN(10-1,INDEX(Assumptions!B:B,MATCH("Margin convergence",Assumptions!A:A,0)))/INDEX(Assumptions!B:B,MATCH("Margin convergence",Assumptions!A:A,0)))*(INDEX(Assumptions!B:B,MATCH("Stable net profit margin",Assumptions!A:A,0))-INDEX(Assumptions!B:B,MATCH("FY+1 net profit margin",Assumptions!A:A,0))),IF(10-1&gt;=INDEX(Assumptions!B:B,MATCH("Margin convergence",Assumptions!A:A,0)),INDEX(Assumptions!B:B,MATCH("Stable net profit margin",Assumptions!A:A,0)),INDEX(Assumptions!B:B,MATCH("FY+1 net profit margin",Assumptions!A:A,0))+IF(INDEX(Assumptions!B:B,MATCH("Margin convergence",Assumptions!A:A,0))=0,(10-1)/(INDEX(Assumptions!B:B,MATCH("Years to stability",Assumptions!A:A,0))-1),MIN(10-1,INDEX(Assumptions!B:B,MATCH("Margin convergence",Assumptions!A:A,0)))/INDEX(Assumptions!B:B,MATCH("Margin convergence",Assumptions!A:A,0)))*(INDEX(Assumptions!B:B,MATCH("Stable net profit margin",Assumptions!A:A,0))-INDEX(Assumptions!B:B,MATCH("FY+1 net profit margin",Assumptions!A:A,0))))))</f>
      </c>
      <c r="M9" s="25">
        <f>=IF(11&gt;INDEX(Assumptions!B:B,MATCH("Years to stability",Assumptions!A:A,0))+1,"",IF(INDEX(Assumptions!B:B,MATCH("Margin convergence",Assumptions!A:A,0))=0,INDEX(Assumptions!B:B,MATCH("FY+1 net profit margin",Assumptions!A:A,0))+IF(INDEX(Assumptions!B:B,MATCH("Margin convergence",Assumptions!A:A,0))=0,(11-1)/(INDEX(Assumptions!B:B,MATCH("Years to stability",Assumptions!A:A,0))-1),MIN(11-1,INDEX(Assumptions!B:B,MATCH("Margin convergence",Assumptions!A:A,0)))/INDEX(Assumptions!B:B,MATCH("Margin convergence",Assumptions!A:A,0)))*(INDEX(Assumptions!B:B,MATCH("Stable net profit margin",Assumptions!A:A,0))-INDEX(Assumptions!B:B,MATCH("FY+1 net profit margin",Assumptions!A:A,0))),IF(11-1&gt;=INDEX(Assumptions!B:B,MATCH("Margin convergence",Assumptions!A:A,0)),INDEX(Assumptions!B:B,MATCH("Stable net profit margin",Assumptions!A:A,0)),INDEX(Assumptions!B:B,MATCH("FY+1 net profit margin",Assumptions!A:A,0))+IF(INDEX(Assumptions!B:B,MATCH("Margin convergence",Assumptions!A:A,0))=0,(11-1)/(INDEX(Assumptions!B:B,MATCH("Years to stability",Assumptions!A:A,0))-1),MIN(11-1,INDEX(Assumptions!B:B,MATCH("Margin convergence",Assumptions!A:A,0)))/INDEX(Assumptions!B:B,MATCH("Margin convergence",Assumptions!A:A,0)))*(INDEX(Assumptions!B:B,MATCH("Stable net profit margin",Assumptions!A:A,0))-INDEX(Assumptions!B:B,MATCH("FY+1 net profit margin",Assumptions!A:A,0))))))</f>
      </c>
      <c r="N9" s="25">
        <f>=IF(12&gt;INDEX(Assumptions!B:B,MATCH("Years to stability",Assumptions!A:A,0))+1,"",IF(INDEX(Assumptions!B:B,MATCH("Margin convergence",Assumptions!A:A,0))=0,INDEX(Assumptions!B:B,MATCH("FY+1 net profit margin",Assumptions!A:A,0))+IF(INDEX(Assumptions!B:B,MATCH("Margin convergence",Assumptions!A:A,0))=0,(12-1)/(INDEX(Assumptions!B:B,MATCH("Years to stability",Assumptions!A:A,0))-1),MIN(12-1,INDEX(Assumptions!B:B,MATCH("Margin convergence",Assumptions!A:A,0)))/INDEX(Assumptions!B:B,MATCH("Margin convergence",Assumptions!A:A,0)))*(INDEX(Assumptions!B:B,MATCH("Stable net profit margin",Assumptions!A:A,0))-INDEX(Assumptions!B:B,MATCH("FY+1 net profit margin",Assumptions!A:A,0))),IF(12-1&gt;=INDEX(Assumptions!B:B,MATCH("Margin convergence",Assumptions!A:A,0)),INDEX(Assumptions!B:B,MATCH("Stable net profit margin",Assumptions!A:A,0)),INDEX(Assumptions!B:B,MATCH("FY+1 net profit margin",Assumptions!A:A,0))+IF(INDEX(Assumptions!B:B,MATCH("Margin convergence",Assumptions!A:A,0))=0,(12-1)/(INDEX(Assumptions!B:B,MATCH("Years to stability",Assumptions!A:A,0))-1),MIN(12-1,INDEX(Assumptions!B:B,MATCH("Margin convergence",Assumptions!A:A,0)))/INDEX(Assumptions!B:B,MATCH("Margin convergence",Assumptions!A:A,0)))*(INDEX(Assumptions!B:B,MATCH("Stable net profit margin",Assumptions!A:A,0))-INDEX(Assumptions!B:B,MATCH("FY+1 net profit margin",Assumptions!A:A,0))))))</f>
      </c>
      <c r="O9" s="25">
        <f>=IF(13&gt;INDEX(Assumptions!B:B,MATCH("Years to stability",Assumptions!A:A,0))+1,"",IF(INDEX(Assumptions!B:B,MATCH("Margin convergence",Assumptions!A:A,0))=0,INDEX(Assumptions!B:B,MATCH("FY+1 net profit margin",Assumptions!A:A,0))+IF(INDEX(Assumptions!B:B,MATCH("Margin convergence",Assumptions!A:A,0))=0,(13-1)/(INDEX(Assumptions!B:B,MATCH("Years to stability",Assumptions!A:A,0))-1),MIN(13-1,INDEX(Assumptions!B:B,MATCH("Margin convergence",Assumptions!A:A,0)))/INDEX(Assumptions!B:B,MATCH("Margin convergence",Assumptions!A:A,0)))*(INDEX(Assumptions!B:B,MATCH("Stable net profit margin",Assumptions!A:A,0))-INDEX(Assumptions!B:B,MATCH("FY+1 net profit margin",Assumptions!A:A,0))),IF(13-1&gt;=INDEX(Assumptions!B:B,MATCH("Margin convergence",Assumptions!A:A,0)),INDEX(Assumptions!B:B,MATCH("Stable net profit margin",Assumptions!A:A,0)),INDEX(Assumptions!B:B,MATCH("FY+1 net profit margin",Assumptions!A:A,0))+IF(INDEX(Assumptions!B:B,MATCH("Margin convergence",Assumptions!A:A,0))=0,(13-1)/(INDEX(Assumptions!B:B,MATCH("Years to stability",Assumptions!A:A,0))-1),MIN(13-1,INDEX(Assumptions!B:B,MATCH("Margin convergence",Assumptions!A:A,0)))/INDEX(Assumptions!B:B,MATCH("Margin convergence",Assumptions!A:A,0)))*(INDEX(Assumptions!B:B,MATCH("Stable net profit margin",Assumptions!A:A,0))-INDEX(Assumptions!B:B,MATCH("FY+1 net profit margin",Assumptions!A:A,0))))))</f>
      </c>
      <c r="P9" s="25">
        <f>=IF(14&gt;INDEX(Assumptions!B:B,MATCH("Years to stability",Assumptions!A:A,0))+1,"",IF(INDEX(Assumptions!B:B,MATCH("Margin convergence",Assumptions!A:A,0))=0,INDEX(Assumptions!B:B,MATCH("FY+1 net profit margin",Assumptions!A:A,0))+IF(INDEX(Assumptions!B:B,MATCH("Margin convergence",Assumptions!A:A,0))=0,(14-1)/(INDEX(Assumptions!B:B,MATCH("Years to stability",Assumptions!A:A,0))-1),MIN(14-1,INDEX(Assumptions!B:B,MATCH("Margin convergence",Assumptions!A:A,0)))/INDEX(Assumptions!B:B,MATCH("Margin convergence",Assumptions!A:A,0)))*(INDEX(Assumptions!B:B,MATCH("Stable net profit margin",Assumptions!A:A,0))-INDEX(Assumptions!B:B,MATCH("FY+1 net profit margin",Assumptions!A:A,0))),IF(14-1&gt;=INDEX(Assumptions!B:B,MATCH("Margin convergence",Assumptions!A:A,0)),INDEX(Assumptions!B:B,MATCH("Stable net profit margin",Assumptions!A:A,0)),INDEX(Assumptions!B:B,MATCH("FY+1 net profit margin",Assumptions!A:A,0))+IF(INDEX(Assumptions!B:B,MATCH("Margin convergence",Assumptions!A:A,0))=0,(14-1)/(INDEX(Assumptions!B:B,MATCH("Years to stability",Assumptions!A:A,0))-1),MIN(14-1,INDEX(Assumptions!B:B,MATCH("Margin convergence",Assumptions!A:A,0)))/INDEX(Assumptions!B:B,MATCH("Margin convergence",Assumptions!A:A,0)))*(INDEX(Assumptions!B:B,MATCH("Stable net profit margin",Assumptions!A:A,0))-INDEX(Assumptions!B:B,MATCH("FY+1 net profit margin",Assumptions!A:A,0))))))</f>
      </c>
      <c r="Q9" s="25">
        <f>=IF(15&gt;INDEX(Assumptions!B:B,MATCH("Years to stability",Assumptions!A:A,0))+1,"",IF(INDEX(Assumptions!B:B,MATCH("Margin convergence",Assumptions!A:A,0))=0,INDEX(Assumptions!B:B,MATCH("FY+1 net profit margin",Assumptions!A:A,0))+IF(INDEX(Assumptions!B:B,MATCH("Margin convergence",Assumptions!A:A,0))=0,(15-1)/(INDEX(Assumptions!B:B,MATCH("Years to stability",Assumptions!A:A,0))-1),MIN(15-1,INDEX(Assumptions!B:B,MATCH("Margin convergence",Assumptions!A:A,0)))/INDEX(Assumptions!B:B,MATCH("Margin convergence",Assumptions!A:A,0)))*(INDEX(Assumptions!B:B,MATCH("Stable net profit margin",Assumptions!A:A,0))-INDEX(Assumptions!B:B,MATCH("FY+1 net profit margin",Assumptions!A:A,0))),IF(15-1&gt;=INDEX(Assumptions!B:B,MATCH("Margin convergence",Assumptions!A:A,0)),INDEX(Assumptions!B:B,MATCH("Stable net profit margin",Assumptions!A:A,0)),INDEX(Assumptions!B:B,MATCH("FY+1 net profit margin",Assumptions!A:A,0))+IF(INDEX(Assumptions!B:B,MATCH("Margin convergence",Assumptions!A:A,0))=0,(15-1)/(INDEX(Assumptions!B:B,MATCH("Years to stability",Assumptions!A:A,0))-1),MIN(15-1,INDEX(Assumptions!B:B,MATCH("Margin convergence",Assumptions!A:A,0)))/INDEX(Assumptions!B:B,MATCH("Margin convergence",Assumptions!A:A,0)))*(INDEX(Assumptions!B:B,MATCH("Stable net profit margin",Assumptions!A:A,0))-INDEX(Assumptions!B:B,MATCH("FY+1 net profit margin",Assumptions!A:A,0))))))</f>
      </c>
      <c r="R9" s="25">
        <f>=IF(16&gt;INDEX(Assumptions!B:B,MATCH("Years to stability",Assumptions!A:A,0))+1,"",IF(INDEX(Assumptions!B:B,MATCH("Margin convergence",Assumptions!A:A,0))=0,INDEX(Assumptions!B:B,MATCH("FY+1 net profit margin",Assumptions!A:A,0))+IF(INDEX(Assumptions!B:B,MATCH("Margin convergence",Assumptions!A:A,0))=0,(16-1)/(INDEX(Assumptions!B:B,MATCH("Years to stability",Assumptions!A:A,0))-1),MIN(16-1,INDEX(Assumptions!B:B,MATCH("Margin convergence",Assumptions!A:A,0)))/INDEX(Assumptions!B:B,MATCH("Margin convergence",Assumptions!A:A,0)))*(INDEX(Assumptions!B:B,MATCH("Stable net profit margin",Assumptions!A:A,0))-INDEX(Assumptions!B:B,MATCH("FY+1 net profit margin",Assumptions!A:A,0))),IF(16-1&gt;=INDEX(Assumptions!B:B,MATCH("Margin convergence",Assumptions!A:A,0)),INDEX(Assumptions!B:B,MATCH("Stable net profit margin",Assumptions!A:A,0)),INDEX(Assumptions!B:B,MATCH("FY+1 net profit margin",Assumptions!A:A,0))+IF(INDEX(Assumptions!B:B,MATCH("Margin convergence",Assumptions!A:A,0))=0,(16-1)/(INDEX(Assumptions!B:B,MATCH("Years to stability",Assumptions!A:A,0))-1),MIN(16-1,INDEX(Assumptions!B:B,MATCH("Margin convergence",Assumptions!A:A,0)))/INDEX(Assumptions!B:B,MATCH("Margin convergence",Assumptions!A:A,0)))*(INDEX(Assumptions!B:B,MATCH("Stable net profit margin",Assumptions!A:A,0))-INDEX(Assumptions!B:B,MATCH("FY+1 net profit margin",Assumptions!A:A,0))))))</f>
      </c>
      <c r="S9" s="25">
        <f>=IF(17&gt;INDEX(Assumptions!B:B,MATCH("Years to stability",Assumptions!A:A,0))+1,"",IF(INDEX(Assumptions!B:B,MATCH("Margin convergence",Assumptions!A:A,0))=0,INDEX(Assumptions!B:B,MATCH("FY+1 net profit margin",Assumptions!A:A,0))+IF(INDEX(Assumptions!B:B,MATCH("Margin convergence",Assumptions!A:A,0))=0,(17-1)/(INDEX(Assumptions!B:B,MATCH("Years to stability",Assumptions!A:A,0))-1),MIN(17-1,INDEX(Assumptions!B:B,MATCH("Margin convergence",Assumptions!A:A,0)))/INDEX(Assumptions!B:B,MATCH("Margin convergence",Assumptions!A:A,0)))*(INDEX(Assumptions!B:B,MATCH("Stable net profit margin",Assumptions!A:A,0))-INDEX(Assumptions!B:B,MATCH("FY+1 net profit margin",Assumptions!A:A,0))),IF(17-1&gt;=INDEX(Assumptions!B:B,MATCH("Margin convergence",Assumptions!A:A,0)),INDEX(Assumptions!B:B,MATCH("Stable net profit margin",Assumptions!A:A,0)),INDEX(Assumptions!B:B,MATCH("FY+1 net profit margin",Assumptions!A:A,0))+IF(INDEX(Assumptions!B:B,MATCH("Margin convergence",Assumptions!A:A,0))=0,(17-1)/(INDEX(Assumptions!B:B,MATCH("Years to stability",Assumptions!A:A,0))-1),MIN(17-1,INDEX(Assumptions!B:B,MATCH("Margin convergence",Assumptions!A:A,0)))/INDEX(Assumptions!B:B,MATCH("Margin convergence",Assumptions!A:A,0)))*(INDEX(Assumptions!B:B,MATCH("Stable net profit margin",Assumptions!A:A,0))-INDEX(Assumptions!B:B,MATCH("FY+1 net profit margin",Assumptions!A:A,0))))))</f>
      </c>
      <c r="T9" s="25">
        <f>=IF(18&gt;INDEX(Assumptions!B:B,MATCH("Years to stability",Assumptions!A:A,0))+1,"",IF(INDEX(Assumptions!B:B,MATCH("Margin convergence",Assumptions!A:A,0))=0,INDEX(Assumptions!B:B,MATCH("FY+1 net profit margin",Assumptions!A:A,0))+IF(INDEX(Assumptions!B:B,MATCH("Margin convergence",Assumptions!A:A,0))=0,(18-1)/(INDEX(Assumptions!B:B,MATCH("Years to stability",Assumptions!A:A,0))-1),MIN(18-1,INDEX(Assumptions!B:B,MATCH("Margin convergence",Assumptions!A:A,0)))/INDEX(Assumptions!B:B,MATCH("Margin convergence",Assumptions!A:A,0)))*(INDEX(Assumptions!B:B,MATCH("Stable net profit margin",Assumptions!A:A,0))-INDEX(Assumptions!B:B,MATCH("FY+1 net profit margin",Assumptions!A:A,0))),IF(18-1&gt;=INDEX(Assumptions!B:B,MATCH("Margin convergence",Assumptions!A:A,0)),INDEX(Assumptions!B:B,MATCH("Stable net profit margin",Assumptions!A:A,0)),INDEX(Assumptions!B:B,MATCH("FY+1 net profit margin",Assumptions!A:A,0))+IF(INDEX(Assumptions!B:B,MATCH("Margin convergence",Assumptions!A:A,0))=0,(18-1)/(INDEX(Assumptions!B:B,MATCH("Years to stability",Assumptions!A:A,0))-1),MIN(18-1,INDEX(Assumptions!B:B,MATCH("Margin convergence",Assumptions!A:A,0)))/INDEX(Assumptions!B:B,MATCH("Margin convergence",Assumptions!A:A,0)))*(INDEX(Assumptions!B:B,MATCH("Stable net profit margin",Assumptions!A:A,0))-INDEX(Assumptions!B:B,MATCH("FY+1 net profit margin",Assumptions!A:A,0))))))</f>
      </c>
      <c r="U9" s="25">
        <f>=IF(19&gt;INDEX(Assumptions!B:B,MATCH("Years to stability",Assumptions!A:A,0))+1,"",IF(INDEX(Assumptions!B:B,MATCH("Margin convergence",Assumptions!A:A,0))=0,INDEX(Assumptions!B:B,MATCH("FY+1 net profit margin",Assumptions!A:A,0))+IF(INDEX(Assumptions!B:B,MATCH("Margin convergence",Assumptions!A:A,0))=0,(19-1)/(INDEX(Assumptions!B:B,MATCH("Years to stability",Assumptions!A:A,0))-1),MIN(19-1,INDEX(Assumptions!B:B,MATCH("Margin convergence",Assumptions!A:A,0)))/INDEX(Assumptions!B:B,MATCH("Margin convergence",Assumptions!A:A,0)))*(INDEX(Assumptions!B:B,MATCH("Stable net profit margin",Assumptions!A:A,0))-INDEX(Assumptions!B:B,MATCH("FY+1 net profit margin",Assumptions!A:A,0))),IF(19-1&gt;=INDEX(Assumptions!B:B,MATCH("Margin convergence",Assumptions!A:A,0)),INDEX(Assumptions!B:B,MATCH("Stable net profit margin",Assumptions!A:A,0)),INDEX(Assumptions!B:B,MATCH("FY+1 net profit margin",Assumptions!A:A,0))+IF(INDEX(Assumptions!B:B,MATCH("Margin convergence",Assumptions!A:A,0))=0,(19-1)/(INDEX(Assumptions!B:B,MATCH("Years to stability",Assumptions!A:A,0))-1),MIN(19-1,INDEX(Assumptions!B:B,MATCH("Margin convergence",Assumptions!A:A,0)))/INDEX(Assumptions!B:B,MATCH("Margin convergence",Assumptions!A:A,0)))*(INDEX(Assumptions!B:B,MATCH("Stable net profit margin",Assumptions!A:A,0))-INDEX(Assumptions!B:B,MATCH("FY+1 net profit margin",Assumptions!A:A,0))))))</f>
      </c>
      <c r="V9" s="25">
        <f>=IF(20&gt;INDEX(Assumptions!B:B,MATCH("Years to stability",Assumptions!A:A,0))+1,"",IF(INDEX(Assumptions!B:B,MATCH("Margin convergence",Assumptions!A:A,0))=0,INDEX(Assumptions!B:B,MATCH("FY+1 net profit margin",Assumptions!A:A,0))+IF(INDEX(Assumptions!B:B,MATCH("Margin convergence",Assumptions!A:A,0))=0,(20-1)/(INDEX(Assumptions!B:B,MATCH("Years to stability",Assumptions!A:A,0))-1),MIN(20-1,INDEX(Assumptions!B:B,MATCH("Margin convergence",Assumptions!A:A,0)))/INDEX(Assumptions!B:B,MATCH("Margin convergence",Assumptions!A:A,0)))*(INDEX(Assumptions!B:B,MATCH("Stable net profit margin",Assumptions!A:A,0))-INDEX(Assumptions!B:B,MATCH("FY+1 net profit margin",Assumptions!A:A,0))),IF(20-1&gt;=INDEX(Assumptions!B:B,MATCH("Margin convergence",Assumptions!A:A,0)),INDEX(Assumptions!B:B,MATCH("Stable net profit margin",Assumptions!A:A,0)),INDEX(Assumptions!B:B,MATCH("FY+1 net profit margin",Assumptions!A:A,0))+IF(INDEX(Assumptions!B:B,MATCH("Margin convergence",Assumptions!A:A,0))=0,(20-1)/(INDEX(Assumptions!B:B,MATCH("Years to stability",Assumptions!A:A,0))-1),MIN(20-1,INDEX(Assumptions!B:B,MATCH("Margin convergence",Assumptions!A:A,0)))/INDEX(Assumptions!B:B,MATCH("Margin convergence",Assumptions!A:A,0)))*(INDEX(Assumptions!B:B,MATCH("Stable net profit margin",Assumptions!A:A,0))-INDEX(Assumptions!B:B,MATCH("FY+1 net profit margin",Assumptions!A:A,0))))))</f>
      </c>
      <c r="W9" s="25">
        <f>=IF(21&gt;INDEX(Assumptions!B:B,MATCH("Years to stability",Assumptions!A:A,0))+1,"",IF(INDEX(Assumptions!B:B,MATCH("Margin convergence",Assumptions!A:A,0))=0,INDEX(Assumptions!B:B,MATCH("FY+1 net profit margin",Assumptions!A:A,0))+IF(INDEX(Assumptions!B:B,MATCH("Margin convergence",Assumptions!A:A,0))=0,(21-1)/(INDEX(Assumptions!B:B,MATCH("Years to stability",Assumptions!A:A,0))-1),MIN(21-1,INDEX(Assumptions!B:B,MATCH("Margin convergence",Assumptions!A:A,0)))/INDEX(Assumptions!B:B,MATCH("Margin convergence",Assumptions!A:A,0)))*(INDEX(Assumptions!B:B,MATCH("Stable net profit margin",Assumptions!A:A,0))-INDEX(Assumptions!B:B,MATCH("FY+1 net profit margin",Assumptions!A:A,0))),IF(21-1&gt;=INDEX(Assumptions!B:B,MATCH("Margin convergence",Assumptions!A:A,0)),INDEX(Assumptions!B:B,MATCH("Stable net profit margin",Assumptions!A:A,0)),INDEX(Assumptions!B:B,MATCH("FY+1 net profit margin",Assumptions!A:A,0))+IF(INDEX(Assumptions!B:B,MATCH("Margin convergence",Assumptions!A:A,0))=0,(21-1)/(INDEX(Assumptions!B:B,MATCH("Years to stability",Assumptions!A:A,0))-1),MIN(21-1,INDEX(Assumptions!B:B,MATCH("Margin convergence",Assumptions!A:A,0)))/INDEX(Assumptions!B:B,MATCH("Margin convergence",Assumptions!A:A,0)))*(INDEX(Assumptions!B:B,MATCH("Stable net profit margin",Assumptions!A:A,0))-INDEX(Assumptions!B:B,MATCH("FY+1 net profit margin",Assumptions!A:A,0))))))</f>
      </c>
    </row>
    <row r="10" spans="1:23" x14ac:dyDescent="0.25">
      <c r="A10" s="11" t="s">
        <v>70</v>
      </c>
      <c r="B10" s="24">
        <f>=INDEX(Financials!B:B,MATCH("Reinvestment",Financials!A:A,0))</f>
      </c>
      <c r="C10" s="24">
        <f>=IF(1&lt;=INDEX(Assumptions!B:B,MATCH("Years to stability",Assumptions!A:A,0))+1,IF(1=INDEX(Assumptions!B:B,MATCH("Years to stability",Assumptions!A:A,0))+1,C8*INDEX(Assumptions!B:B,MATCH("Stable growth rate",Assumptions!A:A,0))/INDEX(Assumptions!B:B,MATCH("Stable ROE",Assumptions!A:A,0)),(C5-B5)/INDEX(Assumptions!B:B,MATCH("Sales-to-equity ratio",Assumptions!A:A,0))),"")</f>
      </c>
      <c r="D10" s="24">
        <f>=IF(2&lt;=INDEX(Assumptions!B:B,MATCH("Years to stability",Assumptions!A:A,0))+1,IF(2=INDEX(Assumptions!B:B,MATCH("Years to stability",Assumptions!A:A,0))+1,D8*INDEX(Assumptions!B:B,MATCH("Stable growth rate",Assumptions!A:A,0))/INDEX(Assumptions!B:B,MATCH("Stable ROE",Assumptions!A:A,0)),(D5-C5)/INDEX(Assumptions!B:B,MATCH("Sales-to-equity ratio",Assumptions!A:A,0))),"")</f>
      </c>
      <c r="E10" s="24">
        <f>=IF(3&lt;=INDEX(Assumptions!B:B,MATCH("Years to stability",Assumptions!A:A,0))+1,IF(3=INDEX(Assumptions!B:B,MATCH("Years to stability",Assumptions!A:A,0))+1,E8*INDEX(Assumptions!B:B,MATCH("Stable growth rate",Assumptions!A:A,0))/INDEX(Assumptions!B:B,MATCH("Stable ROE",Assumptions!A:A,0)),(E5-D5)/INDEX(Assumptions!B:B,MATCH("Sales-to-equity ratio",Assumptions!A:A,0))),"")</f>
      </c>
      <c r="F10" s="24">
        <f>=IF(4&lt;=INDEX(Assumptions!B:B,MATCH("Years to stability",Assumptions!A:A,0))+1,IF(4=INDEX(Assumptions!B:B,MATCH("Years to stability",Assumptions!A:A,0))+1,F8*INDEX(Assumptions!B:B,MATCH("Stable growth rate",Assumptions!A:A,0))/INDEX(Assumptions!B:B,MATCH("Stable ROE",Assumptions!A:A,0)),(F5-E5)/INDEX(Assumptions!B:B,MATCH("Sales-to-equity ratio",Assumptions!A:A,0))),"")</f>
      </c>
      <c r="G10" s="24">
        <f>=IF(5&lt;=INDEX(Assumptions!B:B,MATCH("Years to stability",Assumptions!A:A,0))+1,IF(5=INDEX(Assumptions!B:B,MATCH("Years to stability",Assumptions!A:A,0))+1,G8*INDEX(Assumptions!B:B,MATCH("Stable growth rate",Assumptions!A:A,0))/INDEX(Assumptions!B:B,MATCH("Stable ROE",Assumptions!A:A,0)),(G5-F5)/INDEX(Assumptions!B:B,MATCH("Sales-to-equity ratio",Assumptions!A:A,0))),"")</f>
      </c>
      <c r="H10" s="24">
        <f>=IF(6&lt;=INDEX(Assumptions!B:B,MATCH("Years to stability",Assumptions!A:A,0))+1,IF(6=INDEX(Assumptions!B:B,MATCH("Years to stability",Assumptions!A:A,0))+1,H8*INDEX(Assumptions!B:B,MATCH("Stable growth rate",Assumptions!A:A,0))/INDEX(Assumptions!B:B,MATCH("Stable ROE",Assumptions!A:A,0)),(H5-G5)/INDEX(Assumptions!B:B,MATCH("Sales-to-equity ratio",Assumptions!A:A,0))),"")</f>
      </c>
      <c r="I10" s="24">
        <f>=IF(7&lt;=INDEX(Assumptions!B:B,MATCH("Years to stability",Assumptions!A:A,0))+1,IF(7=INDEX(Assumptions!B:B,MATCH("Years to stability",Assumptions!A:A,0))+1,I8*INDEX(Assumptions!B:B,MATCH("Stable growth rate",Assumptions!A:A,0))/INDEX(Assumptions!B:B,MATCH("Stable ROE",Assumptions!A:A,0)),(I5-H5)/INDEX(Assumptions!B:B,MATCH("Sales-to-equity ratio",Assumptions!A:A,0))),"")</f>
      </c>
      <c r="J10" s="24">
        <f>=IF(8&lt;=INDEX(Assumptions!B:B,MATCH("Years to stability",Assumptions!A:A,0))+1,IF(8=INDEX(Assumptions!B:B,MATCH("Years to stability",Assumptions!A:A,0))+1,J8*INDEX(Assumptions!B:B,MATCH("Stable growth rate",Assumptions!A:A,0))/INDEX(Assumptions!B:B,MATCH("Stable ROE",Assumptions!A:A,0)),(J5-I5)/INDEX(Assumptions!B:B,MATCH("Sales-to-equity ratio",Assumptions!A:A,0))),"")</f>
      </c>
      <c r="K10" s="24">
        <f>=IF(9&lt;=INDEX(Assumptions!B:B,MATCH("Years to stability",Assumptions!A:A,0))+1,IF(9=INDEX(Assumptions!B:B,MATCH("Years to stability",Assumptions!A:A,0))+1,K8*INDEX(Assumptions!B:B,MATCH("Stable growth rate",Assumptions!A:A,0))/INDEX(Assumptions!B:B,MATCH("Stable ROE",Assumptions!A:A,0)),(K5-J5)/INDEX(Assumptions!B:B,MATCH("Sales-to-equity ratio",Assumptions!A:A,0))),"")</f>
      </c>
      <c r="L10" s="24">
        <f>=IF(10&lt;=INDEX(Assumptions!B:B,MATCH("Years to stability",Assumptions!A:A,0))+1,IF(10=INDEX(Assumptions!B:B,MATCH("Years to stability",Assumptions!A:A,0))+1,L8*INDEX(Assumptions!B:B,MATCH("Stable growth rate",Assumptions!A:A,0))/INDEX(Assumptions!B:B,MATCH("Stable ROE",Assumptions!A:A,0)),(L5-K5)/INDEX(Assumptions!B:B,MATCH("Sales-to-equity ratio",Assumptions!A:A,0))),"")</f>
      </c>
      <c r="M10" s="24">
        <f>=IF(11&lt;=INDEX(Assumptions!B:B,MATCH("Years to stability",Assumptions!A:A,0))+1,IF(11=INDEX(Assumptions!B:B,MATCH("Years to stability",Assumptions!A:A,0))+1,M8*INDEX(Assumptions!B:B,MATCH("Stable growth rate",Assumptions!A:A,0))/INDEX(Assumptions!B:B,MATCH("Stable ROE",Assumptions!A:A,0)),(M5-L5)/INDEX(Assumptions!B:B,MATCH("Sales-to-equity ratio",Assumptions!A:A,0))),"")</f>
      </c>
      <c r="N10" s="24">
        <f>=IF(12&lt;=INDEX(Assumptions!B:B,MATCH("Years to stability",Assumptions!A:A,0))+1,IF(12=INDEX(Assumptions!B:B,MATCH("Years to stability",Assumptions!A:A,0))+1,N8*INDEX(Assumptions!B:B,MATCH("Stable growth rate",Assumptions!A:A,0))/INDEX(Assumptions!B:B,MATCH("Stable ROE",Assumptions!A:A,0)),(N5-M5)/INDEX(Assumptions!B:B,MATCH("Sales-to-equity ratio",Assumptions!A:A,0))),"")</f>
      </c>
      <c r="O10" s="24">
        <f>=IF(13&lt;=INDEX(Assumptions!B:B,MATCH("Years to stability",Assumptions!A:A,0))+1,IF(13=INDEX(Assumptions!B:B,MATCH("Years to stability",Assumptions!A:A,0))+1,O8*INDEX(Assumptions!B:B,MATCH("Stable growth rate",Assumptions!A:A,0))/INDEX(Assumptions!B:B,MATCH("Stable ROE",Assumptions!A:A,0)),(O5-N5)/INDEX(Assumptions!B:B,MATCH("Sales-to-equity ratio",Assumptions!A:A,0))),"")</f>
      </c>
      <c r="P10" s="24">
        <f>=IF(14&lt;=INDEX(Assumptions!B:B,MATCH("Years to stability",Assumptions!A:A,0))+1,IF(14=INDEX(Assumptions!B:B,MATCH("Years to stability",Assumptions!A:A,0))+1,P8*INDEX(Assumptions!B:B,MATCH("Stable growth rate",Assumptions!A:A,0))/INDEX(Assumptions!B:B,MATCH("Stable ROE",Assumptions!A:A,0)),(P5-O5)/INDEX(Assumptions!B:B,MATCH("Sales-to-equity ratio",Assumptions!A:A,0))),"")</f>
      </c>
      <c r="Q10" s="24">
        <f>=IF(15&lt;=INDEX(Assumptions!B:B,MATCH("Years to stability",Assumptions!A:A,0))+1,IF(15=INDEX(Assumptions!B:B,MATCH("Years to stability",Assumptions!A:A,0))+1,Q8*INDEX(Assumptions!B:B,MATCH("Stable growth rate",Assumptions!A:A,0))/INDEX(Assumptions!B:B,MATCH("Stable ROE",Assumptions!A:A,0)),(Q5-P5)/INDEX(Assumptions!B:B,MATCH("Sales-to-equity ratio",Assumptions!A:A,0))),"")</f>
      </c>
      <c r="R10" s="24">
        <f>=IF(16&lt;=INDEX(Assumptions!B:B,MATCH("Years to stability",Assumptions!A:A,0))+1,IF(16=INDEX(Assumptions!B:B,MATCH("Years to stability",Assumptions!A:A,0))+1,R8*INDEX(Assumptions!B:B,MATCH("Stable growth rate",Assumptions!A:A,0))/INDEX(Assumptions!B:B,MATCH("Stable ROE",Assumptions!A:A,0)),(R5-Q5)/INDEX(Assumptions!B:B,MATCH("Sales-to-equity ratio",Assumptions!A:A,0))),"")</f>
      </c>
      <c r="S10" s="24">
        <f>=IF(17&lt;=INDEX(Assumptions!B:B,MATCH("Years to stability",Assumptions!A:A,0))+1,IF(17=INDEX(Assumptions!B:B,MATCH("Years to stability",Assumptions!A:A,0))+1,S8*INDEX(Assumptions!B:B,MATCH("Stable growth rate",Assumptions!A:A,0))/INDEX(Assumptions!B:B,MATCH("Stable ROE",Assumptions!A:A,0)),(S5-R5)/INDEX(Assumptions!B:B,MATCH("Sales-to-equity ratio",Assumptions!A:A,0))),"")</f>
      </c>
      <c r="T10" s="24">
        <f>=IF(18&lt;=INDEX(Assumptions!B:B,MATCH("Years to stability",Assumptions!A:A,0))+1,IF(18=INDEX(Assumptions!B:B,MATCH("Years to stability",Assumptions!A:A,0))+1,T8*INDEX(Assumptions!B:B,MATCH("Stable growth rate",Assumptions!A:A,0))/INDEX(Assumptions!B:B,MATCH("Stable ROE",Assumptions!A:A,0)),(T5-S5)/INDEX(Assumptions!B:B,MATCH("Sales-to-equity ratio",Assumptions!A:A,0))),"")</f>
      </c>
      <c r="U10" s="24">
        <f>=IF(19&lt;=INDEX(Assumptions!B:B,MATCH("Years to stability",Assumptions!A:A,0))+1,IF(19=INDEX(Assumptions!B:B,MATCH("Years to stability",Assumptions!A:A,0))+1,U8*INDEX(Assumptions!B:B,MATCH("Stable growth rate",Assumptions!A:A,0))/INDEX(Assumptions!B:B,MATCH("Stable ROE",Assumptions!A:A,0)),(U5-T5)/INDEX(Assumptions!B:B,MATCH("Sales-to-equity ratio",Assumptions!A:A,0))),"")</f>
      </c>
      <c r="V10" s="24">
        <f>=IF(20&lt;=INDEX(Assumptions!B:B,MATCH("Years to stability",Assumptions!A:A,0))+1,IF(20=INDEX(Assumptions!B:B,MATCH("Years to stability",Assumptions!A:A,0))+1,V8*INDEX(Assumptions!B:B,MATCH("Stable growth rate",Assumptions!A:A,0))/INDEX(Assumptions!B:B,MATCH("Stable ROE",Assumptions!A:A,0)),(V5-U5)/INDEX(Assumptions!B:B,MATCH("Sales-to-equity ratio",Assumptions!A:A,0))),"")</f>
      </c>
      <c r="W10" s="24">
        <f>=IF(21&lt;=INDEX(Assumptions!B:B,MATCH("Years to stability",Assumptions!A:A,0))+1,IF(21=INDEX(Assumptions!B:B,MATCH("Years to stability",Assumptions!A:A,0))+1,W8*INDEX(Assumptions!B:B,MATCH("Stable growth rate",Assumptions!A:A,0))/INDEX(Assumptions!B:B,MATCH("Stable ROE",Assumptions!A:A,0)),(W5-V5)/INDEX(Assumptions!B:B,MATCH("Sales-to-equity ratio",Assumptions!A:A,0))),"")</f>
      </c>
    </row>
    <row r="11" spans="1:23" x14ac:dyDescent="0.25">
      <c r="A11" s="11" t="s">
        <v>71</v>
      </c>
      <c r="B11" s="24">
        <f>=INDEX(Financials!B:B,MATCH("Adjusted Equity",Financials!A:A,0))</f>
      </c>
      <c r="C11" s="24">
        <f>=IF(1&lt;=INDEX(Assumptions!B:B,MATCH("Years to stability",Assumptions!A:A,0))+1,B11+C10,"")</f>
      </c>
      <c r="D11" s="24">
        <f>=IF(2&lt;=INDEX(Assumptions!B:B,MATCH("Years to stability",Assumptions!A:A,0))+1,C11+D10,"")</f>
      </c>
      <c r="E11" s="24">
        <f>=IF(3&lt;=INDEX(Assumptions!B:B,MATCH("Years to stability",Assumptions!A:A,0))+1,D11+E10,"")</f>
      </c>
      <c r="F11" s="24">
        <f>=IF(4&lt;=INDEX(Assumptions!B:B,MATCH("Years to stability",Assumptions!A:A,0))+1,E11+F10,"")</f>
      </c>
      <c r="G11" s="24">
        <f>=IF(5&lt;=INDEX(Assumptions!B:B,MATCH("Years to stability",Assumptions!A:A,0))+1,F11+G10,"")</f>
      </c>
      <c r="H11" s="24">
        <f>=IF(6&lt;=INDEX(Assumptions!B:B,MATCH("Years to stability",Assumptions!A:A,0))+1,G11+H10,"")</f>
      </c>
      <c r="I11" s="24">
        <f>=IF(7&lt;=INDEX(Assumptions!B:B,MATCH("Years to stability",Assumptions!A:A,0))+1,H11+I10,"")</f>
      </c>
      <c r="J11" s="24">
        <f>=IF(8&lt;=INDEX(Assumptions!B:B,MATCH("Years to stability",Assumptions!A:A,0))+1,I11+J10,"")</f>
      </c>
      <c r="K11" s="24">
        <f>=IF(9&lt;=INDEX(Assumptions!B:B,MATCH("Years to stability",Assumptions!A:A,0))+1,J11+K10,"")</f>
      </c>
      <c r="L11" s="24">
        <f>=IF(10&lt;=INDEX(Assumptions!B:B,MATCH("Years to stability",Assumptions!A:A,0))+1,K11+L10,"")</f>
      </c>
      <c r="M11" s="24">
        <f>=IF(11&lt;=INDEX(Assumptions!B:B,MATCH("Years to stability",Assumptions!A:A,0))+1,L11+M10,"")</f>
      </c>
      <c r="N11" s="24">
        <f>=IF(12&lt;=INDEX(Assumptions!B:B,MATCH("Years to stability",Assumptions!A:A,0))+1,M11+N10,"")</f>
      </c>
      <c r="O11" s="24">
        <f>=IF(13&lt;=INDEX(Assumptions!B:B,MATCH("Years to stability",Assumptions!A:A,0))+1,N11+O10,"")</f>
      </c>
      <c r="P11" s="24">
        <f>=IF(14&lt;=INDEX(Assumptions!B:B,MATCH("Years to stability",Assumptions!A:A,0))+1,O11+P10,"")</f>
      </c>
      <c r="Q11" s="24">
        <f>=IF(15&lt;=INDEX(Assumptions!B:B,MATCH("Years to stability",Assumptions!A:A,0))+1,P11+Q10,"")</f>
      </c>
      <c r="R11" s="24">
        <f>=IF(16&lt;=INDEX(Assumptions!B:B,MATCH("Years to stability",Assumptions!A:A,0))+1,Q11+R10,"")</f>
      </c>
      <c r="S11" s="24">
        <f>=IF(17&lt;=INDEX(Assumptions!B:B,MATCH("Years to stability",Assumptions!A:A,0))+1,R11+S10,"")</f>
      </c>
      <c r="T11" s="24">
        <f>=IF(18&lt;=INDEX(Assumptions!B:B,MATCH("Years to stability",Assumptions!A:A,0))+1,S11+T10,"")</f>
      </c>
      <c r="U11" s="24">
        <f>=IF(19&lt;=INDEX(Assumptions!B:B,MATCH("Years to stability",Assumptions!A:A,0))+1,T11+U10,"")</f>
      </c>
      <c r="V11" s="24">
        <f>=IF(20&lt;=INDEX(Assumptions!B:B,MATCH("Years to stability",Assumptions!A:A,0))+1,U11+V10,"")</f>
      </c>
      <c r="W11" s="24">
        <f>=IF(21&lt;=INDEX(Assumptions!B:B,MATCH("Years to stability",Assumptions!A:A,0))+1,V11+W10,"")</f>
      </c>
    </row>
    <row r="12" spans="1:23" x14ac:dyDescent="0.25">
      <c r="A12" s="11" t="s">
        <v>72</v>
      </c>
      <c r="B12" s="25">
        <f>=B8/B11</f>
      </c>
      <c r="C12" s="25">
        <f>=IF(1&gt;INDEX(Assumptions!B:B,MATCH("Years to stability",Assumptions!A:A,0))+1,"",IF(1=INDEX(Assumptions!B:B,MATCH("Years to stability",Assumptions!A:A,0))+1,INDEX(Assumptions!B:B,MATCH("Stable ROE",Assumptions!A:A,0)),C8/C11))</f>
      </c>
      <c r="D12" s="25">
        <f>=IF(2&gt;INDEX(Assumptions!B:B,MATCH("Years to stability",Assumptions!A:A,0))+1,"",IF(2=INDEX(Assumptions!B:B,MATCH("Years to stability",Assumptions!A:A,0))+1,INDEX(Assumptions!B:B,MATCH("Stable ROE",Assumptions!A:A,0)),D8/D11))</f>
      </c>
      <c r="E12" s="25">
        <f>=IF(3&gt;INDEX(Assumptions!B:B,MATCH("Years to stability",Assumptions!A:A,0))+1,"",IF(3=INDEX(Assumptions!B:B,MATCH("Years to stability",Assumptions!A:A,0))+1,INDEX(Assumptions!B:B,MATCH("Stable ROE",Assumptions!A:A,0)),E8/E11))</f>
      </c>
      <c r="F12" s="25">
        <f>=IF(4&gt;INDEX(Assumptions!B:B,MATCH("Years to stability",Assumptions!A:A,0))+1,"",IF(4=INDEX(Assumptions!B:B,MATCH("Years to stability",Assumptions!A:A,0))+1,INDEX(Assumptions!B:B,MATCH("Stable ROE",Assumptions!A:A,0)),F8/F11))</f>
      </c>
      <c r="G12" s="25">
        <f>=IF(5&gt;INDEX(Assumptions!B:B,MATCH("Years to stability",Assumptions!A:A,0))+1,"",IF(5=INDEX(Assumptions!B:B,MATCH("Years to stability",Assumptions!A:A,0))+1,INDEX(Assumptions!B:B,MATCH("Stable ROE",Assumptions!A:A,0)),G8/G11))</f>
      </c>
      <c r="H12" s="25">
        <f>=IF(6&gt;INDEX(Assumptions!B:B,MATCH("Years to stability",Assumptions!A:A,0))+1,"",IF(6=INDEX(Assumptions!B:B,MATCH("Years to stability",Assumptions!A:A,0))+1,INDEX(Assumptions!B:B,MATCH("Stable ROE",Assumptions!A:A,0)),H8/H11))</f>
      </c>
      <c r="I12" s="25">
        <f>=IF(7&gt;INDEX(Assumptions!B:B,MATCH("Years to stability",Assumptions!A:A,0))+1,"",IF(7=INDEX(Assumptions!B:B,MATCH("Years to stability",Assumptions!A:A,0))+1,INDEX(Assumptions!B:B,MATCH("Stable ROE",Assumptions!A:A,0)),I8/I11))</f>
      </c>
      <c r="J12" s="25">
        <f>=IF(8&gt;INDEX(Assumptions!B:B,MATCH("Years to stability",Assumptions!A:A,0))+1,"",IF(8=INDEX(Assumptions!B:B,MATCH("Years to stability",Assumptions!A:A,0))+1,INDEX(Assumptions!B:B,MATCH("Stable ROE",Assumptions!A:A,0)),J8/J11))</f>
      </c>
      <c r="K12" s="25">
        <f>=IF(9&gt;INDEX(Assumptions!B:B,MATCH("Years to stability",Assumptions!A:A,0))+1,"",IF(9=INDEX(Assumptions!B:B,MATCH("Years to stability",Assumptions!A:A,0))+1,INDEX(Assumptions!B:B,MATCH("Stable ROE",Assumptions!A:A,0)),K8/K11))</f>
      </c>
      <c r="L12" s="25">
        <f>=IF(10&gt;INDEX(Assumptions!B:B,MATCH("Years to stability",Assumptions!A:A,0))+1,"",IF(10=INDEX(Assumptions!B:B,MATCH("Years to stability",Assumptions!A:A,0))+1,INDEX(Assumptions!B:B,MATCH("Stable ROE",Assumptions!A:A,0)),L8/L11))</f>
      </c>
      <c r="M12" s="25">
        <f>=IF(11&gt;INDEX(Assumptions!B:B,MATCH("Years to stability",Assumptions!A:A,0))+1,"",IF(11=INDEX(Assumptions!B:B,MATCH("Years to stability",Assumptions!A:A,0))+1,INDEX(Assumptions!B:B,MATCH("Stable ROE",Assumptions!A:A,0)),M8/M11))</f>
      </c>
      <c r="N12" s="25">
        <f>=IF(12&gt;INDEX(Assumptions!B:B,MATCH("Years to stability",Assumptions!A:A,0))+1,"",IF(12=INDEX(Assumptions!B:B,MATCH("Years to stability",Assumptions!A:A,0))+1,INDEX(Assumptions!B:B,MATCH("Stable ROE",Assumptions!A:A,0)),N8/N11))</f>
      </c>
      <c r="O12" s="25">
        <f>=IF(13&gt;INDEX(Assumptions!B:B,MATCH("Years to stability",Assumptions!A:A,0))+1,"",IF(13=INDEX(Assumptions!B:B,MATCH("Years to stability",Assumptions!A:A,0))+1,INDEX(Assumptions!B:B,MATCH("Stable ROE",Assumptions!A:A,0)),O8/O11))</f>
      </c>
      <c r="P12" s="25">
        <f>=IF(14&gt;INDEX(Assumptions!B:B,MATCH("Years to stability",Assumptions!A:A,0))+1,"",IF(14=INDEX(Assumptions!B:B,MATCH("Years to stability",Assumptions!A:A,0))+1,INDEX(Assumptions!B:B,MATCH("Stable ROE",Assumptions!A:A,0)),P8/P11))</f>
      </c>
      <c r="Q12" s="25">
        <f>=IF(15&gt;INDEX(Assumptions!B:B,MATCH("Years to stability",Assumptions!A:A,0))+1,"",IF(15=INDEX(Assumptions!B:B,MATCH("Years to stability",Assumptions!A:A,0))+1,INDEX(Assumptions!B:B,MATCH("Stable ROE",Assumptions!A:A,0)),Q8/Q11))</f>
      </c>
      <c r="R12" s="25">
        <f>=IF(16&gt;INDEX(Assumptions!B:B,MATCH("Years to stability",Assumptions!A:A,0))+1,"",IF(16=INDEX(Assumptions!B:B,MATCH("Years to stability",Assumptions!A:A,0))+1,INDEX(Assumptions!B:B,MATCH("Stable ROE",Assumptions!A:A,0)),R8/R11))</f>
      </c>
      <c r="S12" s="25">
        <f>=IF(17&gt;INDEX(Assumptions!B:B,MATCH("Years to stability",Assumptions!A:A,0))+1,"",IF(17=INDEX(Assumptions!B:B,MATCH("Years to stability",Assumptions!A:A,0))+1,INDEX(Assumptions!B:B,MATCH("Stable ROE",Assumptions!A:A,0)),S8/S11))</f>
      </c>
      <c r="T12" s="25">
        <f>=IF(18&gt;INDEX(Assumptions!B:B,MATCH("Years to stability",Assumptions!A:A,0))+1,"",IF(18=INDEX(Assumptions!B:B,MATCH("Years to stability",Assumptions!A:A,0))+1,INDEX(Assumptions!B:B,MATCH("Stable ROE",Assumptions!A:A,0)),T8/T11))</f>
      </c>
      <c r="U12" s="25">
        <f>=IF(19&gt;INDEX(Assumptions!B:B,MATCH("Years to stability",Assumptions!A:A,0))+1,"",IF(19=INDEX(Assumptions!B:B,MATCH("Years to stability",Assumptions!A:A,0))+1,INDEX(Assumptions!B:B,MATCH("Stable ROE",Assumptions!A:A,0)),U8/U11))</f>
      </c>
      <c r="V12" s="25">
        <f>=IF(20&gt;INDEX(Assumptions!B:B,MATCH("Years to stability",Assumptions!A:A,0))+1,"",IF(20=INDEX(Assumptions!B:B,MATCH("Years to stability",Assumptions!A:A,0))+1,INDEX(Assumptions!B:B,MATCH("Stable ROE",Assumptions!A:A,0)),V8/V11))</f>
      </c>
      <c r="W12" s="25">
        <f>=IF(21&gt;INDEX(Assumptions!B:B,MATCH("Years to stability",Assumptions!A:A,0))+1,"",IF(21=INDEX(Assumptions!B:B,MATCH("Years to stability",Assumptions!A:A,0))+1,INDEX(Assumptions!B:B,MATCH("Stable ROE",Assumptions!A:A,0)),W8/W11))</f>
      </c>
    </row>
    <row r="13" spans="1:23" x14ac:dyDescent="0.25">
      <c r="A13" s="11" t="s">
        <v>73</v>
      </c>
      <c r="B13" s="26">
        <f>=INDEX(Financials!B:B,MATCH("Sales to Equity Ratio",Financials!A:A,0))</f>
      </c>
      <c r="C13" s="26">
        <f>=IF(1&lt;=INDEX(Assumptions!B:B,MATCH("Years to stability",Assumptions!A:A,0))+1,INDEX(Assumptions!B:B,MATCH("Sales-to-equity ratio",Assumptions!A:A,0)),"")</f>
      </c>
      <c r="D13" s="26">
        <f>=IF(2&lt;=INDEX(Assumptions!B:B,MATCH("Years to stability",Assumptions!A:A,0))+1,INDEX(Assumptions!B:B,MATCH("Sales-to-equity ratio",Assumptions!A:A,0)),"")</f>
      </c>
      <c r="E13" s="26">
        <f>=IF(3&lt;=INDEX(Assumptions!B:B,MATCH("Years to stability",Assumptions!A:A,0))+1,INDEX(Assumptions!B:B,MATCH("Sales-to-equity ratio",Assumptions!A:A,0)),"")</f>
      </c>
      <c r="F13" s="26">
        <f>=IF(4&lt;=INDEX(Assumptions!B:B,MATCH("Years to stability",Assumptions!A:A,0))+1,INDEX(Assumptions!B:B,MATCH("Sales-to-equity ratio",Assumptions!A:A,0)),"")</f>
      </c>
      <c r="G13" s="26">
        <f>=IF(5&lt;=INDEX(Assumptions!B:B,MATCH("Years to stability",Assumptions!A:A,0))+1,INDEX(Assumptions!B:B,MATCH("Sales-to-equity ratio",Assumptions!A:A,0)),"")</f>
      </c>
      <c r="H13" s="26">
        <f>=IF(6&lt;=INDEX(Assumptions!B:B,MATCH("Years to stability",Assumptions!A:A,0))+1,INDEX(Assumptions!B:B,MATCH("Sales-to-equity ratio",Assumptions!A:A,0)),"")</f>
      </c>
      <c r="I13" s="26">
        <f>=IF(7&lt;=INDEX(Assumptions!B:B,MATCH("Years to stability",Assumptions!A:A,0))+1,INDEX(Assumptions!B:B,MATCH("Sales-to-equity ratio",Assumptions!A:A,0)),"")</f>
      </c>
      <c r="J13" s="26">
        <f>=IF(8&lt;=INDEX(Assumptions!B:B,MATCH("Years to stability",Assumptions!A:A,0))+1,INDEX(Assumptions!B:B,MATCH("Sales-to-equity ratio",Assumptions!A:A,0)),"")</f>
      </c>
      <c r="K13" s="26">
        <f>=IF(9&lt;=INDEX(Assumptions!B:B,MATCH("Years to stability",Assumptions!A:A,0))+1,INDEX(Assumptions!B:B,MATCH("Sales-to-equity ratio",Assumptions!A:A,0)),"")</f>
      </c>
      <c r="L13" s="26">
        <f>=IF(10&lt;=INDEX(Assumptions!B:B,MATCH("Years to stability",Assumptions!A:A,0))+1,INDEX(Assumptions!B:B,MATCH("Sales-to-equity ratio",Assumptions!A:A,0)),"")</f>
      </c>
      <c r="M13" s="26">
        <f>=IF(11&lt;=INDEX(Assumptions!B:B,MATCH("Years to stability",Assumptions!A:A,0))+1,INDEX(Assumptions!B:B,MATCH("Sales-to-equity ratio",Assumptions!A:A,0)),"")</f>
      </c>
      <c r="N13" s="26">
        <f>=IF(12&lt;=INDEX(Assumptions!B:B,MATCH("Years to stability",Assumptions!A:A,0))+1,INDEX(Assumptions!B:B,MATCH("Sales-to-equity ratio",Assumptions!A:A,0)),"")</f>
      </c>
      <c r="O13" s="26">
        <f>=IF(13&lt;=INDEX(Assumptions!B:B,MATCH("Years to stability",Assumptions!A:A,0))+1,INDEX(Assumptions!B:B,MATCH("Sales-to-equity ratio",Assumptions!A:A,0)),"")</f>
      </c>
      <c r="P13" s="26">
        <f>=IF(14&lt;=INDEX(Assumptions!B:B,MATCH("Years to stability",Assumptions!A:A,0))+1,INDEX(Assumptions!B:B,MATCH("Sales-to-equity ratio",Assumptions!A:A,0)),"")</f>
      </c>
      <c r="Q13" s="26">
        <f>=IF(15&lt;=INDEX(Assumptions!B:B,MATCH("Years to stability",Assumptions!A:A,0))+1,INDEX(Assumptions!B:B,MATCH("Sales-to-equity ratio",Assumptions!A:A,0)),"")</f>
      </c>
      <c r="R13" s="26">
        <f>=IF(16&lt;=INDEX(Assumptions!B:B,MATCH("Years to stability",Assumptions!A:A,0))+1,INDEX(Assumptions!B:B,MATCH("Sales-to-equity ratio",Assumptions!A:A,0)),"")</f>
      </c>
      <c r="S13" s="26">
        <f>=IF(17&lt;=INDEX(Assumptions!B:B,MATCH("Years to stability",Assumptions!A:A,0))+1,INDEX(Assumptions!B:B,MATCH("Sales-to-equity ratio",Assumptions!A:A,0)),"")</f>
      </c>
      <c r="T13" s="26">
        <f>=IF(18&lt;=INDEX(Assumptions!B:B,MATCH("Years to stability",Assumptions!A:A,0))+1,INDEX(Assumptions!B:B,MATCH("Sales-to-equity ratio",Assumptions!A:A,0)),"")</f>
      </c>
      <c r="U13" s="26">
        <f>=IF(19&lt;=INDEX(Assumptions!B:B,MATCH("Years to stability",Assumptions!A:A,0))+1,INDEX(Assumptions!B:B,MATCH("Sales-to-equity ratio",Assumptions!A:A,0)),"")</f>
      </c>
      <c r="V13" s="26">
        <f>=IF(20&lt;=INDEX(Assumptions!B:B,MATCH("Years to stability",Assumptions!A:A,0))+1,INDEX(Assumptions!B:B,MATCH("Sales-to-equity ratio",Assumptions!A:A,0)),"")</f>
      </c>
      <c r="W13" s="26">
        <f>=IF(21&lt;=INDEX(Assumptions!B:B,MATCH("Years to stability",Assumptions!A:A,0))+1,INDEX(Assumptions!B:B,MATCH("Sales-to-equity ratio",Assumptions!A:A,0)),"")</f>
      </c>
    </row>
    <row r="14" spans="1:23" x14ac:dyDescent="0.25">
      <c r="A14" s="11" t="s">
        <v>74</v>
      </c>
      <c r="B14" s="24">
        <f>=B8-B10</f>
      </c>
      <c r="C14" s="24">
        <f>=IF(1&lt;=INDEX(Assumptions!B:B,MATCH("Years to stability",Assumptions!A:A,0))+1,C8-C10,"")</f>
      </c>
      <c r="D14" s="24">
        <f>=IF(2&lt;=INDEX(Assumptions!B:B,MATCH("Years to stability",Assumptions!A:A,0))+1,D8-D10,"")</f>
      </c>
      <c r="E14" s="24">
        <f>=IF(3&lt;=INDEX(Assumptions!B:B,MATCH("Years to stability",Assumptions!A:A,0))+1,E8-E10,"")</f>
      </c>
      <c r="F14" s="24">
        <f>=IF(4&lt;=INDEX(Assumptions!B:B,MATCH("Years to stability",Assumptions!A:A,0))+1,F8-F10,"")</f>
      </c>
      <c r="G14" s="24">
        <f>=IF(5&lt;=INDEX(Assumptions!B:B,MATCH("Years to stability",Assumptions!A:A,0))+1,G8-G10,"")</f>
      </c>
      <c r="H14" s="24">
        <f>=IF(6&lt;=INDEX(Assumptions!B:B,MATCH("Years to stability",Assumptions!A:A,0))+1,H8-H10,"")</f>
      </c>
      <c r="I14" s="24">
        <f>=IF(7&lt;=INDEX(Assumptions!B:B,MATCH("Years to stability",Assumptions!A:A,0))+1,I8-I10,"")</f>
      </c>
      <c r="J14" s="24">
        <f>=IF(8&lt;=INDEX(Assumptions!B:B,MATCH("Years to stability",Assumptions!A:A,0))+1,J8-J10,"")</f>
      </c>
      <c r="K14" s="24">
        <f>=IF(9&lt;=INDEX(Assumptions!B:B,MATCH("Years to stability",Assumptions!A:A,0))+1,K8-K10,"")</f>
      </c>
      <c r="L14" s="24">
        <f>=IF(10&lt;=INDEX(Assumptions!B:B,MATCH("Years to stability",Assumptions!A:A,0))+1,L8-L10,"")</f>
      </c>
      <c r="M14" s="24">
        <f>=IF(11&lt;=INDEX(Assumptions!B:B,MATCH("Years to stability",Assumptions!A:A,0))+1,M8-M10,"")</f>
      </c>
      <c r="N14" s="24">
        <f>=IF(12&lt;=INDEX(Assumptions!B:B,MATCH("Years to stability",Assumptions!A:A,0))+1,N8-N10,"")</f>
      </c>
      <c r="O14" s="24">
        <f>=IF(13&lt;=INDEX(Assumptions!B:B,MATCH("Years to stability",Assumptions!A:A,0))+1,O8-O10,"")</f>
      </c>
      <c r="P14" s="24">
        <f>=IF(14&lt;=INDEX(Assumptions!B:B,MATCH("Years to stability",Assumptions!A:A,0))+1,P8-P10,"")</f>
      </c>
      <c r="Q14" s="24">
        <f>=IF(15&lt;=INDEX(Assumptions!B:B,MATCH("Years to stability",Assumptions!A:A,0))+1,Q8-Q10,"")</f>
      </c>
      <c r="R14" s="24">
        <f>=IF(16&lt;=INDEX(Assumptions!B:B,MATCH("Years to stability",Assumptions!A:A,0))+1,R8-R10,"")</f>
      </c>
      <c r="S14" s="24">
        <f>=IF(17&lt;=INDEX(Assumptions!B:B,MATCH("Years to stability",Assumptions!A:A,0))+1,S8-S10,"")</f>
      </c>
      <c r="T14" s="24">
        <f>=IF(18&lt;=INDEX(Assumptions!B:B,MATCH("Years to stability",Assumptions!A:A,0))+1,T8-T10,"")</f>
      </c>
      <c r="U14" s="24">
        <f>=IF(19&lt;=INDEX(Assumptions!B:B,MATCH("Years to stability",Assumptions!A:A,0))+1,U8-U10,"")</f>
      </c>
      <c r="V14" s="24">
        <f>=IF(20&lt;=INDEX(Assumptions!B:B,MATCH("Years to stability",Assumptions!A:A,0))+1,V8-V10,"")</f>
      </c>
      <c r="W14" s="24">
        <f>=IF(21&lt;=INDEX(Assumptions!B:B,MATCH("Years to stability",Assumptions!A:A,0))+1,W8-W10,"")</f>
      </c>
    </row>
    <row r="15" spans="1:23" x14ac:dyDescent="0.25">
      <c r="A15" s="11" t="s">
        <v>75</v>
      </c>
      <c r="B15" s="12"/>
      <c r="C15" s="24">
        <f>=IF(1=INDEX(Assumptions!B:B,MATCH("Years to stability",Assumptions!A:A,0))+1,C14/(LOOKUP(2,1/('Cost of equity'!A:A="Stable cost of equity"),'Cost of equity'!B:B)-INDEX(Assumptions!B:B,MATCH("Stable growth rate",Assumptions!A:A,0))),"")</f>
      </c>
      <c r="D15" s="24">
        <f>=IF(2=INDEX(Assumptions!B:B,MATCH("Years to stability",Assumptions!A:A,0))+1,D14/(LOOKUP(2,1/('Cost of equity'!A:A="Stable cost of equity"),'Cost of equity'!B:B)-INDEX(Assumptions!B:B,MATCH("Stable growth rate",Assumptions!A:A,0))),"")</f>
      </c>
      <c r="E15" s="24">
        <f>=IF(3=INDEX(Assumptions!B:B,MATCH("Years to stability",Assumptions!A:A,0))+1,E14/(LOOKUP(2,1/('Cost of equity'!A:A="Stable cost of equity"),'Cost of equity'!B:B)-INDEX(Assumptions!B:B,MATCH("Stable growth rate",Assumptions!A:A,0))),"")</f>
      </c>
      <c r="F15" s="24">
        <f>=IF(4=INDEX(Assumptions!B:B,MATCH("Years to stability",Assumptions!A:A,0))+1,F14/(LOOKUP(2,1/('Cost of equity'!A:A="Stable cost of equity"),'Cost of equity'!B:B)-INDEX(Assumptions!B:B,MATCH("Stable growth rate",Assumptions!A:A,0))),"")</f>
      </c>
      <c r="G15" s="24">
        <f>=IF(5=INDEX(Assumptions!B:B,MATCH("Years to stability",Assumptions!A:A,0))+1,G14/(LOOKUP(2,1/('Cost of equity'!A:A="Stable cost of equity"),'Cost of equity'!B:B)-INDEX(Assumptions!B:B,MATCH("Stable growth rate",Assumptions!A:A,0))),"")</f>
      </c>
      <c r="H15" s="24">
        <f>=IF(6=INDEX(Assumptions!B:B,MATCH("Years to stability",Assumptions!A:A,0))+1,H14/(LOOKUP(2,1/('Cost of equity'!A:A="Stable cost of equity"),'Cost of equity'!B:B)-INDEX(Assumptions!B:B,MATCH("Stable growth rate",Assumptions!A:A,0))),"")</f>
      </c>
      <c r="I15" s="24">
        <f>=IF(7=INDEX(Assumptions!B:B,MATCH("Years to stability",Assumptions!A:A,0))+1,I14/(LOOKUP(2,1/('Cost of equity'!A:A="Stable cost of equity"),'Cost of equity'!B:B)-INDEX(Assumptions!B:B,MATCH("Stable growth rate",Assumptions!A:A,0))),"")</f>
      </c>
      <c r="J15" s="24">
        <f>=IF(8=INDEX(Assumptions!B:B,MATCH("Years to stability",Assumptions!A:A,0))+1,J14/(LOOKUP(2,1/('Cost of equity'!A:A="Stable cost of equity"),'Cost of equity'!B:B)-INDEX(Assumptions!B:B,MATCH("Stable growth rate",Assumptions!A:A,0))),"")</f>
      </c>
      <c r="K15" s="24">
        <f>=IF(9=INDEX(Assumptions!B:B,MATCH("Years to stability",Assumptions!A:A,0))+1,K14/(LOOKUP(2,1/('Cost of equity'!A:A="Stable cost of equity"),'Cost of equity'!B:B)-INDEX(Assumptions!B:B,MATCH("Stable growth rate",Assumptions!A:A,0))),"")</f>
      </c>
      <c r="L15" s="24">
        <f>=IF(10=INDEX(Assumptions!B:B,MATCH("Years to stability",Assumptions!A:A,0))+1,L14/(LOOKUP(2,1/('Cost of equity'!A:A="Stable cost of equity"),'Cost of equity'!B:B)-INDEX(Assumptions!B:B,MATCH("Stable growth rate",Assumptions!A:A,0))),"")</f>
      </c>
      <c r="M15" s="24">
        <f>=IF(11=INDEX(Assumptions!B:B,MATCH("Years to stability",Assumptions!A:A,0))+1,M14/(LOOKUP(2,1/('Cost of equity'!A:A="Stable cost of equity"),'Cost of equity'!B:B)-INDEX(Assumptions!B:B,MATCH("Stable growth rate",Assumptions!A:A,0))),"")</f>
      </c>
      <c r="N15" s="24">
        <f>=IF(12=INDEX(Assumptions!B:B,MATCH("Years to stability",Assumptions!A:A,0))+1,N14/(LOOKUP(2,1/('Cost of equity'!A:A="Stable cost of equity"),'Cost of equity'!B:B)-INDEX(Assumptions!B:B,MATCH("Stable growth rate",Assumptions!A:A,0))),"")</f>
      </c>
      <c r="O15" s="24">
        <f>=IF(13=INDEX(Assumptions!B:B,MATCH("Years to stability",Assumptions!A:A,0))+1,O14/(LOOKUP(2,1/('Cost of equity'!A:A="Stable cost of equity"),'Cost of equity'!B:B)-INDEX(Assumptions!B:B,MATCH("Stable growth rate",Assumptions!A:A,0))),"")</f>
      </c>
      <c r="P15" s="24">
        <f>=IF(14=INDEX(Assumptions!B:B,MATCH("Years to stability",Assumptions!A:A,0))+1,P14/(LOOKUP(2,1/('Cost of equity'!A:A="Stable cost of equity"),'Cost of equity'!B:B)-INDEX(Assumptions!B:B,MATCH("Stable growth rate",Assumptions!A:A,0))),"")</f>
      </c>
      <c r="Q15" s="24">
        <f>=IF(15=INDEX(Assumptions!B:B,MATCH("Years to stability",Assumptions!A:A,0))+1,Q14/(LOOKUP(2,1/('Cost of equity'!A:A="Stable cost of equity"),'Cost of equity'!B:B)-INDEX(Assumptions!B:B,MATCH("Stable growth rate",Assumptions!A:A,0))),"")</f>
      </c>
      <c r="R15" s="24">
        <f>=IF(16=INDEX(Assumptions!B:B,MATCH("Years to stability",Assumptions!A:A,0))+1,R14/(LOOKUP(2,1/('Cost of equity'!A:A="Stable cost of equity"),'Cost of equity'!B:B)-INDEX(Assumptions!B:B,MATCH("Stable growth rate",Assumptions!A:A,0))),"")</f>
      </c>
      <c r="S15" s="24">
        <f>=IF(17=INDEX(Assumptions!B:B,MATCH("Years to stability",Assumptions!A:A,0))+1,S14/(LOOKUP(2,1/('Cost of equity'!A:A="Stable cost of equity"),'Cost of equity'!B:B)-INDEX(Assumptions!B:B,MATCH("Stable growth rate",Assumptions!A:A,0))),"")</f>
      </c>
      <c r="T15" s="24">
        <f>=IF(18=INDEX(Assumptions!B:B,MATCH("Years to stability",Assumptions!A:A,0))+1,T14/(LOOKUP(2,1/('Cost of equity'!A:A="Stable cost of equity"),'Cost of equity'!B:B)-INDEX(Assumptions!B:B,MATCH("Stable growth rate",Assumptions!A:A,0))),"")</f>
      </c>
      <c r="U15" s="24">
        <f>=IF(19=INDEX(Assumptions!B:B,MATCH("Years to stability",Assumptions!A:A,0))+1,U14/(LOOKUP(2,1/('Cost of equity'!A:A="Stable cost of equity"),'Cost of equity'!B:B)-INDEX(Assumptions!B:B,MATCH("Stable growth rate",Assumptions!A:A,0))),"")</f>
      </c>
      <c r="V15" s="24">
        <f>=IF(20=INDEX(Assumptions!B:B,MATCH("Years to stability",Assumptions!A:A,0))+1,V14/(LOOKUP(2,1/('Cost of equity'!A:A="Stable cost of equity"),'Cost of equity'!B:B)-INDEX(Assumptions!B:B,MATCH("Stable growth rate",Assumptions!A:A,0))),"")</f>
      </c>
      <c r="W15" s="24">
        <f>=IF(21=INDEX(Assumptions!B:B,MATCH("Years to stability",Assumptions!A:A,0))+1,W14/(LOOKUP(2,1/('Cost of equity'!A:A="Stable cost of equity"),'Cost of equity'!B:B)-INDEX(Assumptions!B:B,MATCH("Stable growth rate",Assumptions!A:A,0))),"")</f>
      </c>
    </row>
    <row r="16" spans="1:23" x14ac:dyDescent="0.25">
      <c r="A16" s="11" t="s">
        <v>76</v>
      </c>
      <c r="B16" s="12"/>
      <c r="C16" s="24">
        <f>=IF(1&gt;INDEX(Assumptions!B:B,MATCH("Years to stability",Assumptions!A:A,0))+1,"",IF(1=INDEX(Assumptions!B:B,MATCH("Years to stability",Assumptions!A:A,0))+1,C15,C14))</f>
      </c>
      <c r="D16" s="24">
        <f>=IF(2&gt;INDEX(Assumptions!B:B,MATCH("Years to stability",Assumptions!A:A,0))+1,"",IF(2=INDEX(Assumptions!B:B,MATCH("Years to stability",Assumptions!A:A,0))+1,D15,D14))</f>
      </c>
      <c r="E16" s="24">
        <f>=IF(3&gt;INDEX(Assumptions!B:B,MATCH("Years to stability",Assumptions!A:A,0))+1,"",IF(3=INDEX(Assumptions!B:B,MATCH("Years to stability",Assumptions!A:A,0))+1,E15,E14))</f>
      </c>
      <c r="F16" s="24">
        <f>=IF(4&gt;INDEX(Assumptions!B:B,MATCH("Years to stability",Assumptions!A:A,0))+1,"",IF(4=INDEX(Assumptions!B:B,MATCH("Years to stability",Assumptions!A:A,0))+1,F15,F14))</f>
      </c>
      <c r="G16" s="24">
        <f>=IF(5&gt;INDEX(Assumptions!B:B,MATCH("Years to stability",Assumptions!A:A,0))+1,"",IF(5=INDEX(Assumptions!B:B,MATCH("Years to stability",Assumptions!A:A,0))+1,G15,G14))</f>
      </c>
      <c r="H16" s="24">
        <f>=IF(6&gt;INDEX(Assumptions!B:B,MATCH("Years to stability",Assumptions!A:A,0))+1,"",IF(6=INDEX(Assumptions!B:B,MATCH("Years to stability",Assumptions!A:A,0))+1,H15,H14))</f>
      </c>
      <c r="I16" s="24">
        <f>=IF(7&gt;INDEX(Assumptions!B:B,MATCH("Years to stability",Assumptions!A:A,0))+1,"",IF(7=INDEX(Assumptions!B:B,MATCH("Years to stability",Assumptions!A:A,0))+1,I15,I14))</f>
      </c>
      <c r="J16" s="24">
        <f>=IF(8&gt;INDEX(Assumptions!B:B,MATCH("Years to stability",Assumptions!A:A,0))+1,"",IF(8=INDEX(Assumptions!B:B,MATCH("Years to stability",Assumptions!A:A,0))+1,J15,J14))</f>
      </c>
      <c r="K16" s="24">
        <f>=IF(9&gt;INDEX(Assumptions!B:B,MATCH("Years to stability",Assumptions!A:A,0))+1,"",IF(9=INDEX(Assumptions!B:B,MATCH("Years to stability",Assumptions!A:A,0))+1,K15,K14))</f>
      </c>
      <c r="L16" s="24">
        <f>=IF(10&gt;INDEX(Assumptions!B:B,MATCH("Years to stability",Assumptions!A:A,0))+1,"",IF(10=INDEX(Assumptions!B:B,MATCH("Years to stability",Assumptions!A:A,0))+1,L15,L14))</f>
      </c>
      <c r="M16" s="24">
        <f>=IF(11&gt;INDEX(Assumptions!B:B,MATCH("Years to stability",Assumptions!A:A,0))+1,"",IF(11=INDEX(Assumptions!B:B,MATCH("Years to stability",Assumptions!A:A,0))+1,M15,M14))</f>
      </c>
      <c r="N16" s="24">
        <f>=IF(12&gt;INDEX(Assumptions!B:B,MATCH("Years to stability",Assumptions!A:A,0))+1,"",IF(12=INDEX(Assumptions!B:B,MATCH("Years to stability",Assumptions!A:A,0))+1,N15,N14))</f>
      </c>
      <c r="O16" s="24">
        <f>=IF(13&gt;INDEX(Assumptions!B:B,MATCH("Years to stability",Assumptions!A:A,0))+1,"",IF(13=INDEX(Assumptions!B:B,MATCH("Years to stability",Assumptions!A:A,0))+1,O15,O14))</f>
      </c>
      <c r="P16" s="24">
        <f>=IF(14&gt;INDEX(Assumptions!B:B,MATCH("Years to stability",Assumptions!A:A,0))+1,"",IF(14=INDEX(Assumptions!B:B,MATCH("Years to stability",Assumptions!A:A,0))+1,P15,P14))</f>
      </c>
      <c r="Q16" s="24">
        <f>=IF(15&gt;INDEX(Assumptions!B:B,MATCH("Years to stability",Assumptions!A:A,0))+1,"",IF(15=INDEX(Assumptions!B:B,MATCH("Years to stability",Assumptions!A:A,0))+1,Q15,Q14))</f>
      </c>
      <c r="R16" s="24">
        <f>=IF(16&gt;INDEX(Assumptions!B:B,MATCH("Years to stability",Assumptions!A:A,0))+1,"",IF(16=INDEX(Assumptions!B:B,MATCH("Years to stability",Assumptions!A:A,0))+1,R15,R14))</f>
      </c>
      <c r="S16" s="24">
        <f>=IF(17&gt;INDEX(Assumptions!B:B,MATCH("Years to stability",Assumptions!A:A,0))+1,"",IF(17=INDEX(Assumptions!B:B,MATCH("Years to stability",Assumptions!A:A,0))+1,S15,S14))</f>
      </c>
      <c r="T16" s="24">
        <f>=IF(18&gt;INDEX(Assumptions!B:B,MATCH("Years to stability",Assumptions!A:A,0))+1,"",IF(18=INDEX(Assumptions!B:B,MATCH("Years to stability",Assumptions!A:A,0))+1,T15,T14))</f>
      </c>
      <c r="U16" s="24">
        <f>=IF(19&gt;INDEX(Assumptions!B:B,MATCH("Years to stability",Assumptions!A:A,0))+1,"",IF(19=INDEX(Assumptions!B:B,MATCH("Years to stability",Assumptions!A:A,0))+1,U15,U14))</f>
      </c>
      <c r="V16" s="24">
        <f>=IF(20&gt;INDEX(Assumptions!B:B,MATCH("Years to stability",Assumptions!A:A,0))+1,"",IF(20=INDEX(Assumptions!B:B,MATCH("Years to stability",Assumptions!A:A,0))+1,V15,V14))</f>
      </c>
      <c r="W16" s="24">
        <f>=IF(21&gt;INDEX(Assumptions!B:B,MATCH("Years to stability",Assumptions!A:A,0))+1,"",IF(21=INDEX(Assumptions!B:B,MATCH("Years to stability",Assumptions!A:A,0))+1,W15,W14))</f>
      </c>
    </row>
    <row r="17" spans="1:23" x14ac:dyDescent="0.25">
      <c r="A17" s="11" t="s">
        <v>77</v>
      </c>
      <c r="B17" s="12"/>
      <c r="C17" s="27">
        <f>=IF(1&lt;=INDEX(Assumptions!B:B,MATCH("Years to stability",Assumptions!A:A,0))+1,(1+C18)^-MAX(0,(INDEX(Summary!B:B,MATCH("Latest financials date",Summary!A:A,0))+365-INDEX(Summary!B:B,MATCH("Valuation date",Summary!A:A,0)))/365),"")</f>
      </c>
      <c r="D17" s="27">
        <f>=IF(2&lt;=INDEX(Assumptions!B:B,MATCH("Years to stability",Assumptions!A:A,0))+1,IF(2=INDEX(Assumptions!B:B,MATCH("Years to stability",Assumptions!A:A,0))+1,C17,C17/(1+D18)),"")</f>
      </c>
      <c r="E17" s="27">
        <f>=IF(3&lt;=INDEX(Assumptions!B:B,MATCH("Years to stability",Assumptions!A:A,0))+1,IF(3=INDEX(Assumptions!B:B,MATCH("Years to stability",Assumptions!A:A,0))+1,D17,D17/(1+E18)),"")</f>
      </c>
      <c r="F17" s="27">
        <f>=IF(4&lt;=INDEX(Assumptions!B:B,MATCH("Years to stability",Assumptions!A:A,0))+1,IF(4=INDEX(Assumptions!B:B,MATCH("Years to stability",Assumptions!A:A,0))+1,E17,E17/(1+F18)),"")</f>
      </c>
      <c r="G17" s="27">
        <f>=IF(5&lt;=INDEX(Assumptions!B:B,MATCH("Years to stability",Assumptions!A:A,0))+1,IF(5=INDEX(Assumptions!B:B,MATCH("Years to stability",Assumptions!A:A,0))+1,F17,F17/(1+G18)),"")</f>
      </c>
      <c r="H17" s="27">
        <f>=IF(6&lt;=INDEX(Assumptions!B:B,MATCH("Years to stability",Assumptions!A:A,0))+1,IF(6=INDEX(Assumptions!B:B,MATCH("Years to stability",Assumptions!A:A,0))+1,G17,G17/(1+H18)),"")</f>
      </c>
      <c r="I17" s="27">
        <f>=IF(7&lt;=INDEX(Assumptions!B:B,MATCH("Years to stability",Assumptions!A:A,0))+1,IF(7=INDEX(Assumptions!B:B,MATCH("Years to stability",Assumptions!A:A,0))+1,H17,H17/(1+I18)),"")</f>
      </c>
      <c r="J17" s="27">
        <f>=IF(8&lt;=INDEX(Assumptions!B:B,MATCH("Years to stability",Assumptions!A:A,0))+1,IF(8=INDEX(Assumptions!B:B,MATCH("Years to stability",Assumptions!A:A,0))+1,I17,I17/(1+J18)),"")</f>
      </c>
      <c r="K17" s="27">
        <f>=IF(9&lt;=INDEX(Assumptions!B:B,MATCH("Years to stability",Assumptions!A:A,0))+1,IF(9=INDEX(Assumptions!B:B,MATCH("Years to stability",Assumptions!A:A,0))+1,J17,J17/(1+K18)),"")</f>
      </c>
      <c r="L17" s="27">
        <f>=IF(10&lt;=INDEX(Assumptions!B:B,MATCH("Years to stability",Assumptions!A:A,0))+1,IF(10=INDEX(Assumptions!B:B,MATCH("Years to stability",Assumptions!A:A,0))+1,K17,K17/(1+L18)),"")</f>
      </c>
      <c r="M17" s="27">
        <f>=IF(11&lt;=INDEX(Assumptions!B:B,MATCH("Years to stability",Assumptions!A:A,0))+1,IF(11=INDEX(Assumptions!B:B,MATCH("Years to stability",Assumptions!A:A,0))+1,L17,L17/(1+M18)),"")</f>
      </c>
      <c r="N17" s="27">
        <f>=IF(12&lt;=INDEX(Assumptions!B:B,MATCH("Years to stability",Assumptions!A:A,0))+1,IF(12=INDEX(Assumptions!B:B,MATCH("Years to stability",Assumptions!A:A,0))+1,M17,M17/(1+N18)),"")</f>
      </c>
      <c r="O17" s="27">
        <f>=IF(13&lt;=INDEX(Assumptions!B:B,MATCH("Years to stability",Assumptions!A:A,0))+1,IF(13=INDEX(Assumptions!B:B,MATCH("Years to stability",Assumptions!A:A,0))+1,N17,N17/(1+O18)),"")</f>
      </c>
      <c r="P17" s="27">
        <f>=IF(14&lt;=INDEX(Assumptions!B:B,MATCH("Years to stability",Assumptions!A:A,0))+1,IF(14=INDEX(Assumptions!B:B,MATCH("Years to stability",Assumptions!A:A,0))+1,O17,O17/(1+P18)),"")</f>
      </c>
      <c r="Q17" s="27">
        <f>=IF(15&lt;=INDEX(Assumptions!B:B,MATCH("Years to stability",Assumptions!A:A,0))+1,IF(15=INDEX(Assumptions!B:B,MATCH("Years to stability",Assumptions!A:A,0))+1,P17,P17/(1+Q18)),"")</f>
      </c>
      <c r="R17" s="27">
        <f>=IF(16&lt;=INDEX(Assumptions!B:B,MATCH("Years to stability",Assumptions!A:A,0))+1,IF(16=INDEX(Assumptions!B:B,MATCH("Years to stability",Assumptions!A:A,0))+1,Q17,Q17/(1+R18)),"")</f>
      </c>
      <c r="S17" s="27">
        <f>=IF(17&lt;=INDEX(Assumptions!B:B,MATCH("Years to stability",Assumptions!A:A,0))+1,IF(17=INDEX(Assumptions!B:B,MATCH("Years to stability",Assumptions!A:A,0))+1,R17,R17/(1+S18)),"")</f>
      </c>
      <c r="T17" s="27">
        <f>=IF(18&lt;=INDEX(Assumptions!B:B,MATCH("Years to stability",Assumptions!A:A,0))+1,IF(18=INDEX(Assumptions!B:B,MATCH("Years to stability",Assumptions!A:A,0))+1,S17,S17/(1+T18)),"")</f>
      </c>
      <c r="U17" s="27">
        <f>=IF(19&lt;=INDEX(Assumptions!B:B,MATCH("Years to stability",Assumptions!A:A,0))+1,IF(19=INDEX(Assumptions!B:B,MATCH("Years to stability",Assumptions!A:A,0))+1,T17,T17/(1+U18)),"")</f>
      </c>
      <c r="V17" s="27">
        <f>=IF(20&lt;=INDEX(Assumptions!B:B,MATCH("Years to stability",Assumptions!A:A,0))+1,IF(20=INDEX(Assumptions!B:B,MATCH("Years to stability",Assumptions!A:A,0))+1,U17,U17/(1+V18)),"")</f>
      </c>
      <c r="W17" s="27">
        <f>=IF(21&lt;=INDEX(Assumptions!B:B,MATCH("Years to stability",Assumptions!A:A,0))+1,IF(21=INDEX(Assumptions!B:B,MATCH("Years to stability",Assumptions!A:A,0))+1,V17,V17/(1+W18)),"")</f>
      </c>
    </row>
    <row r="18" spans="1:23" x14ac:dyDescent="0.25">
      <c r="A18" s="11" t="s">
        <v>78</v>
      </c>
      <c r="B18" s="12"/>
      <c r="C18" s="25">
        <f>=IF(1&lt;=INDEX(Assumptions!B:B,MATCH("Years to stability",Assumptions!A:A,0))+1,LOOKUP(2,1/('Cost of equity'!A:A="Cost of equity"),'Cost of equity'!B:B)+((MIN(1-1,INDEX(Assumptions!B:B,MATCH("Years to stability",Assumptions!A:A,0))-1))/(INDEX(Assumptions!B:B,MATCH("Years to stability",Assumptions!A:A,0))-1))*(LOOKUP(2,1/('Cost of equity'!A:A="Stable cost of equity"),'Cost of equity'!B:B)-LOOKUP(2,1/('Cost of equity'!A:A="Cost of equity"),'Cost of equity'!B:B)),"")</f>
      </c>
      <c r="D18" s="25">
        <f>=IF(2&lt;=INDEX(Assumptions!B:B,MATCH("Years to stability",Assumptions!A:A,0))+1,LOOKUP(2,1/('Cost of equity'!A:A="Cost of equity"),'Cost of equity'!B:B)+((MIN(2-1,INDEX(Assumptions!B:B,MATCH("Years to stability",Assumptions!A:A,0))-1))/(INDEX(Assumptions!B:B,MATCH("Years to stability",Assumptions!A:A,0))-1))*(LOOKUP(2,1/('Cost of equity'!A:A="Stable cost of equity"),'Cost of equity'!B:B)-LOOKUP(2,1/('Cost of equity'!A:A="Cost of equity"),'Cost of equity'!B:B)),"")</f>
      </c>
      <c r="E18" s="25">
        <f>=IF(3&lt;=INDEX(Assumptions!B:B,MATCH("Years to stability",Assumptions!A:A,0))+1,LOOKUP(2,1/('Cost of equity'!A:A="Cost of equity"),'Cost of equity'!B:B)+((MIN(3-1,INDEX(Assumptions!B:B,MATCH("Years to stability",Assumptions!A:A,0))-1))/(INDEX(Assumptions!B:B,MATCH("Years to stability",Assumptions!A:A,0))-1))*(LOOKUP(2,1/('Cost of equity'!A:A="Stable cost of equity"),'Cost of equity'!B:B)-LOOKUP(2,1/('Cost of equity'!A:A="Cost of equity"),'Cost of equity'!B:B)),"")</f>
      </c>
      <c r="F18" s="25">
        <f>=IF(4&lt;=INDEX(Assumptions!B:B,MATCH("Years to stability",Assumptions!A:A,0))+1,LOOKUP(2,1/('Cost of equity'!A:A="Cost of equity"),'Cost of equity'!B:B)+((MIN(4-1,INDEX(Assumptions!B:B,MATCH("Years to stability",Assumptions!A:A,0))-1))/(INDEX(Assumptions!B:B,MATCH("Years to stability",Assumptions!A:A,0))-1))*(LOOKUP(2,1/('Cost of equity'!A:A="Stable cost of equity"),'Cost of equity'!B:B)-LOOKUP(2,1/('Cost of equity'!A:A="Cost of equity"),'Cost of equity'!B:B)),"")</f>
      </c>
      <c r="G18" s="25">
        <f>=IF(5&lt;=INDEX(Assumptions!B:B,MATCH("Years to stability",Assumptions!A:A,0))+1,LOOKUP(2,1/('Cost of equity'!A:A="Cost of equity"),'Cost of equity'!B:B)+((MIN(5-1,INDEX(Assumptions!B:B,MATCH("Years to stability",Assumptions!A:A,0))-1))/(INDEX(Assumptions!B:B,MATCH("Years to stability",Assumptions!A:A,0))-1))*(LOOKUP(2,1/('Cost of equity'!A:A="Stable cost of equity"),'Cost of equity'!B:B)-LOOKUP(2,1/('Cost of equity'!A:A="Cost of equity"),'Cost of equity'!B:B)),"")</f>
      </c>
      <c r="H18" s="25">
        <f>=IF(6&lt;=INDEX(Assumptions!B:B,MATCH("Years to stability",Assumptions!A:A,0))+1,LOOKUP(2,1/('Cost of equity'!A:A="Cost of equity"),'Cost of equity'!B:B)+((MIN(6-1,INDEX(Assumptions!B:B,MATCH("Years to stability",Assumptions!A:A,0))-1))/(INDEX(Assumptions!B:B,MATCH("Years to stability",Assumptions!A:A,0))-1))*(LOOKUP(2,1/('Cost of equity'!A:A="Stable cost of equity"),'Cost of equity'!B:B)-LOOKUP(2,1/('Cost of equity'!A:A="Cost of equity"),'Cost of equity'!B:B)),"")</f>
      </c>
      <c r="I18" s="25">
        <f>=IF(7&lt;=INDEX(Assumptions!B:B,MATCH("Years to stability",Assumptions!A:A,0))+1,LOOKUP(2,1/('Cost of equity'!A:A="Cost of equity"),'Cost of equity'!B:B)+((MIN(7-1,INDEX(Assumptions!B:B,MATCH("Years to stability",Assumptions!A:A,0))-1))/(INDEX(Assumptions!B:B,MATCH("Years to stability",Assumptions!A:A,0))-1))*(LOOKUP(2,1/('Cost of equity'!A:A="Stable cost of equity"),'Cost of equity'!B:B)-LOOKUP(2,1/('Cost of equity'!A:A="Cost of equity"),'Cost of equity'!B:B)),"")</f>
      </c>
      <c r="J18" s="25">
        <f>=IF(8&lt;=INDEX(Assumptions!B:B,MATCH("Years to stability",Assumptions!A:A,0))+1,LOOKUP(2,1/('Cost of equity'!A:A="Cost of equity"),'Cost of equity'!B:B)+((MIN(8-1,INDEX(Assumptions!B:B,MATCH("Years to stability",Assumptions!A:A,0))-1))/(INDEX(Assumptions!B:B,MATCH("Years to stability",Assumptions!A:A,0))-1))*(LOOKUP(2,1/('Cost of equity'!A:A="Stable cost of equity"),'Cost of equity'!B:B)-LOOKUP(2,1/('Cost of equity'!A:A="Cost of equity"),'Cost of equity'!B:B)),"")</f>
      </c>
      <c r="K18" s="25">
        <f>=IF(9&lt;=INDEX(Assumptions!B:B,MATCH("Years to stability",Assumptions!A:A,0))+1,LOOKUP(2,1/('Cost of equity'!A:A="Cost of equity"),'Cost of equity'!B:B)+((MIN(9-1,INDEX(Assumptions!B:B,MATCH("Years to stability",Assumptions!A:A,0))-1))/(INDEX(Assumptions!B:B,MATCH("Years to stability",Assumptions!A:A,0))-1))*(LOOKUP(2,1/('Cost of equity'!A:A="Stable cost of equity"),'Cost of equity'!B:B)-LOOKUP(2,1/('Cost of equity'!A:A="Cost of equity"),'Cost of equity'!B:B)),"")</f>
      </c>
      <c r="L18" s="25">
        <f>=IF(10&lt;=INDEX(Assumptions!B:B,MATCH("Years to stability",Assumptions!A:A,0))+1,LOOKUP(2,1/('Cost of equity'!A:A="Cost of equity"),'Cost of equity'!B:B)+((MIN(10-1,INDEX(Assumptions!B:B,MATCH("Years to stability",Assumptions!A:A,0))-1))/(INDEX(Assumptions!B:B,MATCH("Years to stability",Assumptions!A:A,0))-1))*(LOOKUP(2,1/('Cost of equity'!A:A="Stable cost of equity"),'Cost of equity'!B:B)-LOOKUP(2,1/('Cost of equity'!A:A="Cost of equity"),'Cost of equity'!B:B)),"")</f>
      </c>
      <c r="M18" s="25">
        <f>=IF(11&lt;=INDEX(Assumptions!B:B,MATCH("Years to stability",Assumptions!A:A,0))+1,LOOKUP(2,1/('Cost of equity'!A:A="Cost of equity"),'Cost of equity'!B:B)+((MIN(11-1,INDEX(Assumptions!B:B,MATCH("Years to stability",Assumptions!A:A,0))-1))/(INDEX(Assumptions!B:B,MATCH("Years to stability",Assumptions!A:A,0))-1))*(LOOKUP(2,1/('Cost of equity'!A:A="Stable cost of equity"),'Cost of equity'!B:B)-LOOKUP(2,1/('Cost of equity'!A:A="Cost of equity"),'Cost of equity'!B:B)),"")</f>
      </c>
      <c r="N18" s="25">
        <f>=IF(12&lt;=INDEX(Assumptions!B:B,MATCH("Years to stability",Assumptions!A:A,0))+1,LOOKUP(2,1/('Cost of equity'!A:A="Cost of equity"),'Cost of equity'!B:B)+((MIN(12-1,INDEX(Assumptions!B:B,MATCH("Years to stability",Assumptions!A:A,0))-1))/(INDEX(Assumptions!B:B,MATCH("Years to stability",Assumptions!A:A,0))-1))*(LOOKUP(2,1/('Cost of equity'!A:A="Stable cost of equity"),'Cost of equity'!B:B)-LOOKUP(2,1/('Cost of equity'!A:A="Cost of equity"),'Cost of equity'!B:B)),"")</f>
      </c>
      <c r="O18" s="25">
        <f>=IF(13&lt;=INDEX(Assumptions!B:B,MATCH("Years to stability",Assumptions!A:A,0))+1,LOOKUP(2,1/('Cost of equity'!A:A="Cost of equity"),'Cost of equity'!B:B)+((MIN(13-1,INDEX(Assumptions!B:B,MATCH("Years to stability",Assumptions!A:A,0))-1))/(INDEX(Assumptions!B:B,MATCH("Years to stability",Assumptions!A:A,0))-1))*(LOOKUP(2,1/('Cost of equity'!A:A="Stable cost of equity"),'Cost of equity'!B:B)-LOOKUP(2,1/('Cost of equity'!A:A="Cost of equity"),'Cost of equity'!B:B)),"")</f>
      </c>
      <c r="P18" s="25">
        <f>=IF(14&lt;=INDEX(Assumptions!B:B,MATCH("Years to stability",Assumptions!A:A,0))+1,LOOKUP(2,1/('Cost of equity'!A:A="Cost of equity"),'Cost of equity'!B:B)+((MIN(14-1,INDEX(Assumptions!B:B,MATCH("Years to stability",Assumptions!A:A,0))-1))/(INDEX(Assumptions!B:B,MATCH("Years to stability",Assumptions!A:A,0))-1))*(LOOKUP(2,1/('Cost of equity'!A:A="Stable cost of equity"),'Cost of equity'!B:B)-LOOKUP(2,1/('Cost of equity'!A:A="Cost of equity"),'Cost of equity'!B:B)),"")</f>
      </c>
      <c r="Q18" s="25">
        <f>=IF(15&lt;=INDEX(Assumptions!B:B,MATCH("Years to stability",Assumptions!A:A,0))+1,LOOKUP(2,1/('Cost of equity'!A:A="Cost of equity"),'Cost of equity'!B:B)+((MIN(15-1,INDEX(Assumptions!B:B,MATCH("Years to stability",Assumptions!A:A,0))-1))/(INDEX(Assumptions!B:B,MATCH("Years to stability",Assumptions!A:A,0))-1))*(LOOKUP(2,1/('Cost of equity'!A:A="Stable cost of equity"),'Cost of equity'!B:B)-LOOKUP(2,1/('Cost of equity'!A:A="Cost of equity"),'Cost of equity'!B:B)),"")</f>
      </c>
      <c r="R18" s="25">
        <f>=IF(16&lt;=INDEX(Assumptions!B:B,MATCH("Years to stability",Assumptions!A:A,0))+1,LOOKUP(2,1/('Cost of equity'!A:A="Cost of equity"),'Cost of equity'!B:B)+((MIN(16-1,INDEX(Assumptions!B:B,MATCH("Years to stability",Assumptions!A:A,0))-1))/(INDEX(Assumptions!B:B,MATCH("Years to stability",Assumptions!A:A,0))-1))*(LOOKUP(2,1/('Cost of equity'!A:A="Stable cost of equity"),'Cost of equity'!B:B)-LOOKUP(2,1/('Cost of equity'!A:A="Cost of equity"),'Cost of equity'!B:B)),"")</f>
      </c>
      <c r="S18" s="25">
        <f>=IF(17&lt;=INDEX(Assumptions!B:B,MATCH("Years to stability",Assumptions!A:A,0))+1,LOOKUP(2,1/('Cost of equity'!A:A="Cost of equity"),'Cost of equity'!B:B)+((MIN(17-1,INDEX(Assumptions!B:B,MATCH("Years to stability",Assumptions!A:A,0))-1))/(INDEX(Assumptions!B:B,MATCH("Years to stability",Assumptions!A:A,0))-1))*(LOOKUP(2,1/('Cost of equity'!A:A="Stable cost of equity"),'Cost of equity'!B:B)-LOOKUP(2,1/('Cost of equity'!A:A="Cost of equity"),'Cost of equity'!B:B)),"")</f>
      </c>
      <c r="T18" s="25">
        <f>=IF(18&lt;=INDEX(Assumptions!B:B,MATCH("Years to stability",Assumptions!A:A,0))+1,LOOKUP(2,1/('Cost of equity'!A:A="Cost of equity"),'Cost of equity'!B:B)+((MIN(18-1,INDEX(Assumptions!B:B,MATCH("Years to stability",Assumptions!A:A,0))-1))/(INDEX(Assumptions!B:B,MATCH("Years to stability",Assumptions!A:A,0))-1))*(LOOKUP(2,1/('Cost of equity'!A:A="Stable cost of equity"),'Cost of equity'!B:B)-LOOKUP(2,1/('Cost of equity'!A:A="Cost of equity"),'Cost of equity'!B:B)),"")</f>
      </c>
      <c r="U18" s="25">
        <f>=IF(19&lt;=INDEX(Assumptions!B:B,MATCH("Years to stability",Assumptions!A:A,0))+1,LOOKUP(2,1/('Cost of equity'!A:A="Cost of equity"),'Cost of equity'!B:B)+((MIN(19-1,INDEX(Assumptions!B:B,MATCH("Years to stability",Assumptions!A:A,0))-1))/(INDEX(Assumptions!B:B,MATCH("Years to stability",Assumptions!A:A,0))-1))*(LOOKUP(2,1/('Cost of equity'!A:A="Stable cost of equity"),'Cost of equity'!B:B)-LOOKUP(2,1/('Cost of equity'!A:A="Cost of equity"),'Cost of equity'!B:B)),"")</f>
      </c>
      <c r="V18" s="25">
        <f>=IF(20&lt;=INDEX(Assumptions!B:B,MATCH("Years to stability",Assumptions!A:A,0))+1,LOOKUP(2,1/('Cost of equity'!A:A="Cost of equity"),'Cost of equity'!B:B)+((MIN(20-1,INDEX(Assumptions!B:B,MATCH("Years to stability",Assumptions!A:A,0))-1))/(INDEX(Assumptions!B:B,MATCH("Years to stability",Assumptions!A:A,0))-1))*(LOOKUP(2,1/('Cost of equity'!A:A="Stable cost of equity"),'Cost of equity'!B:B)-LOOKUP(2,1/('Cost of equity'!A:A="Cost of equity"),'Cost of equity'!B:B)),"")</f>
      </c>
      <c r="W18" s="25">
        <f>=IF(21&lt;=INDEX(Assumptions!B:B,MATCH("Years to stability",Assumptions!A:A,0))+1,LOOKUP(2,1/('Cost of equity'!A:A="Cost of equity"),'Cost of equity'!B:B)+((MIN(21-1,INDEX(Assumptions!B:B,MATCH("Years to stability",Assumptions!A:A,0))-1))/(INDEX(Assumptions!B:B,MATCH("Years to stability",Assumptions!A:A,0))-1))*(LOOKUP(2,1/('Cost of equity'!A:A="Stable cost of equity"),'Cost of equity'!B:B)-LOOKUP(2,1/('Cost of equity'!A:A="Cost of equity"),'Cost of equity'!B:B)),"")</f>
      </c>
    </row>
    <row r="19" spans="1:23" x14ac:dyDescent="0.25">
      <c r="A19" s="11" t="s">
        <v>79</v>
      </c>
      <c r="B19" s="12"/>
      <c r="C19" s="24">
        <f>=IF(1&lt;=INDEX(Assumptions!B:B,MATCH("Years to stability",Assumptions!A:A,0))+1,C16*C17,"")</f>
      </c>
      <c r="D19" s="24">
        <f>=IF(2&lt;=INDEX(Assumptions!B:B,MATCH("Years to stability",Assumptions!A:A,0))+1,D16*D17,"")</f>
      </c>
      <c r="E19" s="24">
        <f>=IF(3&lt;=INDEX(Assumptions!B:B,MATCH("Years to stability",Assumptions!A:A,0))+1,E16*E17,"")</f>
      </c>
      <c r="F19" s="24">
        <f>=IF(4&lt;=INDEX(Assumptions!B:B,MATCH("Years to stability",Assumptions!A:A,0))+1,F16*F17,"")</f>
      </c>
      <c r="G19" s="24">
        <f>=IF(5&lt;=INDEX(Assumptions!B:B,MATCH("Years to stability",Assumptions!A:A,0))+1,G16*G17,"")</f>
      </c>
      <c r="H19" s="24">
        <f>=IF(6&lt;=INDEX(Assumptions!B:B,MATCH("Years to stability",Assumptions!A:A,0))+1,H16*H17,"")</f>
      </c>
      <c r="I19" s="24">
        <f>=IF(7&lt;=INDEX(Assumptions!B:B,MATCH("Years to stability",Assumptions!A:A,0))+1,I16*I17,"")</f>
      </c>
      <c r="J19" s="24">
        <f>=IF(8&lt;=INDEX(Assumptions!B:B,MATCH("Years to stability",Assumptions!A:A,0))+1,J16*J17,"")</f>
      </c>
      <c r="K19" s="24">
        <f>=IF(9&lt;=INDEX(Assumptions!B:B,MATCH("Years to stability",Assumptions!A:A,0))+1,K16*K17,"")</f>
      </c>
      <c r="L19" s="24">
        <f>=IF(10&lt;=INDEX(Assumptions!B:B,MATCH("Years to stability",Assumptions!A:A,0))+1,L16*L17,"")</f>
      </c>
      <c r="M19" s="24">
        <f>=IF(11&lt;=INDEX(Assumptions!B:B,MATCH("Years to stability",Assumptions!A:A,0))+1,M16*M17,"")</f>
      </c>
      <c r="N19" s="24">
        <f>=IF(12&lt;=INDEX(Assumptions!B:B,MATCH("Years to stability",Assumptions!A:A,0))+1,N16*N17,"")</f>
      </c>
      <c r="O19" s="24">
        <f>=IF(13&lt;=INDEX(Assumptions!B:B,MATCH("Years to stability",Assumptions!A:A,0))+1,O16*O17,"")</f>
      </c>
      <c r="P19" s="24">
        <f>=IF(14&lt;=INDEX(Assumptions!B:B,MATCH("Years to stability",Assumptions!A:A,0))+1,P16*P17,"")</f>
      </c>
      <c r="Q19" s="24">
        <f>=IF(15&lt;=INDEX(Assumptions!B:B,MATCH("Years to stability",Assumptions!A:A,0))+1,Q16*Q17,"")</f>
      </c>
      <c r="R19" s="24">
        <f>=IF(16&lt;=INDEX(Assumptions!B:B,MATCH("Years to stability",Assumptions!A:A,0))+1,R16*R17,"")</f>
      </c>
      <c r="S19" s="24">
        <f>=IF(17&lt;=INDEX(Assumptions!B:B,MATCH("Years to stability",Assumptions!A:A,0))+1,S16*S17,"")</f>
      </c>
      <c r="T19" s="24">
        <f>=IF(18&lt;=INDEX(Assumptions!B:B,MATCH("Years to stability",Assumptions!A:A,0))+1,T16*T17,"")</f>
      </c>
      <c r="U19" s="24">
        <f>=IF(19&lt;=INDEX(Assumptions!B:B,MATCH("Years to stability",Assumptions!A:A,0))+1,U16*U17,"")</f>
      </c>
      <c r="V19" s="24">
        <f>=IF(20&lt;=INDEX(Assumptions!B:B,MATCH("Years to stability",Assumptions!A:A,0))+1,V16*V17,"")</f>
      </c>
      <c r="W19" s="24">
        <f>=IF(21&lt;=INDEX(Assumptions!B:B,MATCH("Years to stability",Assumptions!A:A,0))+1,W16*W17,"")</f>
      </c>
    </row>
    <row r="21" spans="1:23" x14ac:dyDescent="0.25">
      <c r="A21" s="11" t="s">
        <v>80</v>
      </c>
      <c r="B21" s="24">
        <f>=SUM(C19:W19)</f>
      </c>
      <c r="C21" s="12"/>
      <c r="D21" s="12"/>
      <c r="E21" s="12"/>
      <c r="F21" s="12"/>
      <c r="G21" s="12"/>
      <c r="H21" s="12"/>
      <c r="I21" s="12"/>
      <c r="J21" s="12"/>
      <c r="K21" s="12"/>
      <c r="L21" s="12"/>
      <c r="M21" s="12"/>
      <c r="N21" s="12"/>
      <c r="O21" s="12"/>
      <c r="P21" s="12"/>
      <c r="Q21" s="12"/>
      <c r="R21" s="12"/>
      <c r="S21" s="12"/>
      <c r="T21" s="12"/>
      <c r="U21" s="12"/>
      <c r="V21" s="12"/>
      <c r="W21" s="12"/>
    </row>
    <row r="22" spans="1:23" x14ac:dyDescent="0.25">
      <c r="A22" s="11" t="s">
        <v>81</v>
      </c>
      <c r="B22" s="24">
        <f>=B21-B25</f>
      </c>
      <c r="C22" s="12"/>
      <c r="D22" s="12"/>
      <c r="E22" s="12"/>
      <c r="F22" s="12"/>
      <c r="G22" s="12"/>
      <c r="H22" s="12"/>
      <c r="I22" s="12"/>
      <c r="J22" s="12"/>
      <c r="K22" s="12"/>
      <c r="L22" s="12"/>
      <c r="M22" s="12"/>
      <c r="N22" s="12"/>
      <c r="O22" s="12"/>
      <c r="P22" s="12"/>
      <c r="Q22" s="12"/>
      <c r="R22" s="12"/>
      <c r="S22" s="12"/>
      <c r="T22" s="12"/>
      <c r="U22" s="12"/>
      <c r="V22" s="12"/>
      <c r="W22" s="12"/>
    </row>
    <row r="23" spans="1:23" x14ac:dyDescent="0.25">
      <c r="A23" s="11" t="s">
        <v>82</v>
      </c>
      <c r="B23" s="14">
        <v>0.014</v>
      </c>
      <c r="C23" s="12"/>
      <c r="D23" s="12"/>
      <c r="E23" s="12"/>
      <c r="F23" s="12"/>
      <c r="G23" s="12"/>
      <c r="H23" s="12"/>
      <c r="I23" s="12"/>
      <c r="J23" s="12"/>
      <c r="K23" s="12"/>
      <c r="L23" s="12"/>
      <c r="M23" s="12"/>
      <c r="N23" s="12"/>
      <c r="O23" s="12"/>
      <c r="P23" s="12"/>
      <c r="Q23" s="12"/>
      <c r="R23" s="12"/>
      <c r="S23" s="12"/>
      <c r="T23" s="12"/>
      <c r="U23" s="12"/>
      <c r="V23" s="12"/>
      <c r="W23" s="12"/>
    </row>
    <row r="24" spans="1:23" x14ac:dyDescent="0.25">
      <c r="A24" s="11" t="s">
        <v>83</v>
      </c>
      <c r="B24" s="25">
        <f>=INDEX(Assumptions!B:B,MATCH("Recovery ratio",Assumptions!A:A,0))</f>
      </c>
      <c r="C24" s="12"/>
      <c r="D24" s="12"/>
      <c r="E24" s="12"/>
      <c r="F24" s="12"/>
      <c r="G24" s="12"/>
      <c r="H24" s="12"/>
      <c r="I24" s="12"/>
      <c r="J24" s="12"/>
      <c r="K24" s="12"/>
      <c r="L24" s="12"/>
      <c r="M24" s="12"/>
      <c r="N24" s="12"/>
      <c r="O24" s="12"/>
      <c r="P24" s="12"/>
      <c r="Q24" s="12"/>
      <c r="R24" s="12"/>
      <c r="S24" s="12"/>
      <c r="T24" s="12"/>
      <c r="U24" s="12"/>
      <c r="V24" s="12"/>
      <c r="W24" s="12"/>
    </row>
    <row r="25" spans="1:23" x14ac:dyDescent="0.25">
      <c r="A25" s="11" t="s">
        <v>84</v>
      </c>
      <c r="B25" s="24">
        <f>=(1-B23)*B21+B23*(B24*B11)</f>
      </c>
      <c r="C25" s="12"/>
      <c r="D25" s="12"/>
      <c r="E25" s="12"/>
      <c r="F25" s="12"/>
      <c r="G25" s="12"/>
      <c r="H25" s="12"/>
      <c r="I25" s="12"/>
      <c r="J25" s="12"/>
      <c r="K25" s="12"/>
      <c r="L25" s="12"/>
      <c r="M25" s="12"/>
      <c r="N25" s="12"/>
      <c r="O25" s="12"/>
      <c r="P25" s="12"/>
      <c r="Q25" s="12"/>
      <c r="R25" s="12"/>
      <c r="S25" s="12"/>
      <c r="T25" s="12"/>
      <c r="U25" s="12"/>
      <c r="V25" s="12"/>
      <c r="W25" s="12"/>
    </row>
    <row r="26" spans="1:23" x14ac:dyDescent="0.25">
      <c r="A26" s="11" t="s">
        <v>85</v>
      </c>
      <c r="B26" s="28">
        <v>464765.318</v>
      </c>
      <c r="C26" s="12"/>
      <c r="D26" s="12"/>
      <c r="E26" s="12"/>
      <c r="F26" s="12"/>
      <c r="G26" s="12"/>
      <c r="H26" s="12"/>
      <c r="I26" s="12"/>
      <c r="J26" s="12"/>
      <c r="K26" s="12"/>
      <c r="L26" s="12"/>
      <c r="M26" s="12"/>
      <c r="N26" s="12"/>
      <c r="O26" s="12"/>
      <c r="P26" s="12"/>
      <c r="Q26" s="12"/>
      <c r="R26" s="12"/>
      <c r="S26" s="12"/>
      <c r="T26" s="12"/>
      <c r="U26" s="12"/>
      <c r="V26" s="12"/>
      <c r="W26" s="12"/>
    </row>
    <row r="27" spans="1:23" x14ac:dyDescent="0.25">
      <c r="A27" s="11" t="s">
        <v>86</v>
      </c>
      <c r="B27" s="28">
        <v>8733.047471145861</v>
      </c>
      <c r="C27" s="12"/>
      <c r="D27" s="12"/>
      <c r="E27" s="12"/>
      <c r="F27" s="12"/>
      <c r="G27" s="12"/>
      <c r="H27" s="12"/>
      <c r="I27" s="12"/>
      <c r="J27" s="12"/>
      <c r="K27" s="12"/>
      <c r="L27" s="12"/>
      <c r="M27" s="12"/>
      <c r="N27" s="12"/>
      <c r="O27" s="12"/>
      <c r="P27" s="12"/>
      <c r="Q27" s="12"/>
      <c r="R27" s="12"/>
      <c r="S27" s="12"/>
      <c r="T27" s="12"/>
      <c r="U27" s="12"/>
      <c r="V27" s="12"/>
      <c r="W27" s="12"/>
    </row>
    <row r="28" spans="1:23" x14ac:dyDescent="0.25">
      <c r="A28" s="11" t="s">
        <v>87</v>
      </c>
      <c r="B28" s="28">
        <v>0</v>
      </c>
      <c r="C28" s="12"/>
      <c r="D28" s="12"/>
      <c r="E28" s="12"/>
      <c r="F28" s="12"/>
      <c r="G28" s="12"/>
      <c r="H28" s="12"/>
      <c r="I28" s="12"/>
      <c r="J28" s="12"/>
      <c r="K28" s="12"/>
      <c r="L28" s="12"/>
      <c r="M28" s="12"/>
      <c r="N28" s="12"/>
      <c r="O28" s="12"/>
      <c r="P28" s="12"/>
      <c r="Q28" s="12"/>
      <c r="R28" s="12"/>
      <c r="S28" s="12"/>
      <c r="T28" s="12"/>
      <c r="U28" s="12"/>
      <c r="V28" s="12"/>
      <c r="W28" s="12"/>
    </row>
    <row r="29" spans="1:23" x14ac:dyDescent="0.25">
      <c r="A29" s="11" t="s">
        <v>88</v>
      </c>
      <c r="B29" s="24">
        <f>=B25+B26-B27-B28</f>
      </c>
      <c r="C29" s="12"/>
      <c r="D29" s="12"/>
      <c r="E29" s="12"/>
      <c r="F29" s="12"/>
      <c r="G29" s="12"/>
      <c r="H29" s="12"/>
      <c r="I29" s="12"/>
      <c r="J29" s="12"/>
      <c r="K29" s="12"/>
      <c r="L29" s="12"/>
      <c r="M29" s="12"/>
      <c r="N29" s="12"/>
      <c r="O29" s="12"/>
      <c r="P29" s="12"/>
      <c r="Q29" s="12"/>
      <c r="R29" s="12"/>
      <c r="S29" s="12"/>
      <c r="T29" s="12"/>
      <c r="U29" s="12"/>
      <c r="V29" s="12"/>
      <c r="W29" s="12"/>
    </row>
    <row r="30" spans="1:23" x14ac:dyDescent="0.25">
      <c r="A30" s="11" t="s">
        <v>89</v>
      </c>
      <c r="B30" s="29">
        <f>=Summary!B20</f>
      </c>
      <c r="C30" s="12"/>
      <c r="D30" s="12"/>
      <c r="E30" s="12"/>
      <c r="F30" s="12"/>
      <c r="G30" s="12"/>
      <c r="H30" s="12"/>
      <c r="I30" s="12"/>
      <c r="J30" s="12"/>
      <c r="K30" s="12"/>
      <c r="L30" s="12"/>
      <c r="M30" s="12"/>
      <c r="N30" s="12"/>
      <c r="O30" s="12"/>
      <c r="P30" s="12"/>
      <c r="Q30" s="12"/>
      <c r="R30" s="12"/>
      <c r="S30" s="12"/>
      <c r="T30" s="12"/>
      <c r="U30" s="12"/>
      <c r="V30" s="12"/>
      <c r="W30" s="12"/>
    </row>
    <row r="31" spans="1:23" x14ac:dyDescent="0.25">
      <c r="A31" s="11" t="s">
        <v>90</v>
      </c>
      <c r="B31" s="30">
        <f>=B29/B30</f>
      </c>
      <c r="C31" s="12"/>
      <c r="D31" s="12"/>
      <c r="E31" s="12"/>
      <c r="F31" s="12"/>
      <c r="G31" s="12"/>
      <c r="H31" s="12"/>
      <c r="I31" s="12"/>
      <c r="J31" s="12"/>
      <c r="K31" s="12"/>
      <c r="L31" s="12"/>
      <c r="M31" s="12"/>
      <c r="N31" s="12"/>
      <c r="O31" s="12"/>
      <c r="P31" s="12"/>
      <c r="Q31" s="12"/>
      <c r="R31" s="12"/>
      <c r="S31" s="12"/>
      <c r="T31" s="12"/>
      <c r="U31" s="12"/>
      <c r="V31" s="12"/>
      <c r="W31" s="12"/>
    </row>
  </sheetData>
  <pageMargins left="0.7" right="0.7" top="0.75" bottom="0.75" header="0.3" footer="0.3"/>
  <pageSetup orientation="portrait" horizontalDpi="4294967295" verticalDpi="4294967295" scale="100" fitToWidth="1" fitToHeight="1"/>
  <pictur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howGridLines="0"/>
  </sheetViews>
  <sheetFormatPr defaultRowHeight="15" outlineLevelRow="0" outlineLevelCol="0" x14ac:dyDescent="55"/>
  <cols>
    <col min="1" max="1" width="25" style="6" customWidth="1"/>
    <col min="2" max="2" width="15" style="7" customWidth="1"/>
    <col min="3" max="3" width="15" style="6" customWidth="1"/>
    <col min="4" max="6" width="20" style="7" customWidth="1"/>
  </cols>
  <sheetData>
    <row r="1" spans="1:6" s="8" customFormat="1" x14ac:dyDescent="0.25">
      <c r="A1" s="9" t="s">
        <v>91</v>
      </c>
      <c r="B1" s="10"/>
      <c r="C1" s="9"/>
      <c r="D1" s="10"/>
      <c r="E1" s="10"/>
      <c r="F1" s="10"/>
    </row>
    <row r="2" spans="1:6" x14ac:dyDescent="0.25">
      <c r="A2" s="11" t="s">
        <v>10</v>
      </c>
      <c r="B2" s="12"/>
      <c r="C2" s="11"/>
      <c r="D2" s="12"/>
      <c r="E2" s="12"/>
      <c r="F2" s="12"/>
    </row>
    <row r="4" spans="1:6" s="17" customFormat="1" x14ac:dyDescent="0.25">
      <c r="A4" s="18" t="s">
        <v>85</v>
      </c>
      <c r="B4" s="31"/>
      <c r="C4" s="18"/>
      <c r="D4" s="31"/>
      <c r="E4" s="31"/>
      <c r="F4" s="31"/>
    </row>
    <row r="5" spans="1:6" x14ac:dyDescent="0.25">
      <c r="A5" s="11" t="s">
        <v>85</v>
      </c>
      <c r="B5" s="16">
        <v>464765.318</v>
      </c>
      <c r="C5" s="11"/>
      <c r="D5" s="12"/>
      <c r="E5" s="12"/>
      <c r="F5" s="12"/>
    </row>
    <row r="7" spans="1:6" s="17" customFormat="1" x14ac:dyDescent="0.25">
      <c r="A7" s="18" t="s">
        <v>92</v>
      </c>
      <c r="B7" s="31"/>
      <c r="C7" s="18"/>
      <c r="D7" s="31"/>
      <c r="E7" s="31"/>
      <c r="F7" s="31"/>
    </row>
    <row r="8" spans="1:6" s="32" customFormat="1" x14ac:dyDescent="0.25">
      <c r="A8" s="21" t="s">
        <v>93</v>
      </c>
      <c r="B8" s="22" t="s">
        <v>94</v>
      </c>
      <c r="C8" s="21" t="s">
        <v>95</v>
      </c>
      <c r="D8" s="22" t="s">
        <v>96</v>
      </c>
      <c r="E8" s="22" t="s">
        <v>97</v>
      </c>
      <c r="F8" s="22" t="s">
        <v>98</v>
      </c>
    </row>
    <row r="9" spans="1:6" x14ac:dyDescent="0.25">
      <c r="A9" s="33">
        <v>9566668</v>
      </c>
      <c r="B9" s="13">
        <v>83.88410780669145</v>
      </c>
      <c r="C9" s="34">
        <v>4.912961643620768</v>
      </c>
      <c r="D9" s="14">
        <v>0.4892699999999999</v>
      </c>
      <c r="E9" s="14">
        <v>0</v>
      </c>
      <c r="F9" s="35"/>
    </row>
    <row r="11" spans="1:6" s="17" customFormat="1" x14ac:dyDescent="0.25">
      <c r="A11" s="18" t="s">
        <v>99</v>
      </c>
      <c r="B11" s="31"/>
      <c r="C11" s="18"/>
      <c r="D11" s="31"/>
      <c r="E11" s="31"/>
      <c r="F11" s="31"/>
    </row>
    <row r="12" spans="1:6" s="32" customFormat="1" x14ac:dyDescent="0.25">
      <c r="A12" s="21" t="s">
        <v>100</v>
      </c>
      <c r="B12" s="22" t="s">
        <v>98</v>
      </c>
      <c r="C12" s="21" t="s">
        <v>101</v>
      </c>
      <c r="D12" s="36"/>
      <c r="E12" s="36"/>
      <c r="F12" s="36"/>
    </row>
    <row r="13" spans="1:6" x14ac:dyDescent="0.25">
      <c r="A13" s="11" t="s">
        <v>102</v>
      </c>
      <c r="B13" s="16">
        <v>0</v>
      </c>
      <c r="C13" s="11" t="s">
        <v>63</v>
      </c>
      <c r="D13" s="12"/>
      <c r="E13" s="12"/>
      <c r="F13" s="12"/>
    </row>
    <row r="14" spans="1:6" x14ac:dyDescent="0.25">
      <c r="A14" s="11" t="s">
        <v>103</v>
      </c>
      <c r="B14" s="16">
        <v>0</v>
      </c>
      <c r="C14" s="11" t="s">
        <v>63</v>
      </c>
      <c r="D14" s="12"/>
      <c r="E14" s="12"/>
      <c r="F14" s="12"/>
    </row>
    <row r="15" spans="1:6" x14ac:dyDescent="0.25">
      <c r="A15" s="11" t="s">
        <v>104</v>
      </c>
      <c r="B15" s="16">
        <v>0</v>
      </c>
      <c r="C15" s="11" t="s">
        <v>63</v>
      </c>
      <c r="D15" s="12"/>
      <c r="E15" s="12"/>
      <c r="F15" s="12"/>
    </row>
    <row r="16" spans="1:6" x14ac:dyDescent="0.25">
      <c r="A16" s="11" t="s">
        <v>105</v>
      </c>
      <c r="B16" s="16">
        <v>0</v>
      </c>
      <c r="C16" s="11" t="s">
        <v>63</v>
      </c>
      <c r="D16" s="12"/>
      <c r="E16" s="12"/>
      <c r="F16" s="12"/>
    </row>
    <row r="17" spans="1:6" x14ac:dyDescent="0.25">
      <c r="A17" s="11" t="s">
        <v>106</v>
      </c>
      <c r="B17" s="16">
        <v>0</v>
      </c>
      <c r="C17" s="11" t="s">
        <v>63</v>
      </c>
      <c r="D17" s="12"/>
      <c r="E17" s="12"/>
      <c r="F17" s="12"/>
    </row>
    <row r="18" spans="1:6" x14ac:dyDescent="0.25">
      <c r="A18" s="11" t="s">
        <v>107</v>
      </c>
      <c r="B18" s="16">
        <v>0</v>
      </c>
      <c r="C18" s="11" t="s">
        <v>63</v>
      </c>
      <c r="D18" s="12"/>
      <c r="E18" s="12"/>
      <c r="F18" s="12"/>
    </row>
    <row r="19" spans="1:6" x14ac:dyDescent="0.25">
      <c r="A19" s="11" t="s">
        <v>108</v>
      </c>
      <c r="B19" s="16">
        <v>0</v>
      </c>
      <c r="C19" s="11" t="s">
        <v>63</v>
      </c>
      <c r="D19" s="12"/>
      <c r="E19" s="12"/>
      <c r="F19" s="12"/>
    </row>
  </sheetData>
  <pageMargins left="0.7" right="0.7" top="0.75" bottom="0.75" header="0.3" footer="0.3"/>
  <pageSetup orientation="portrait" horizontalDpi="4294967295" verticalDpi="4294967295" scale="100" fitToWidth="1" fitToHeight="1"/>
  <pictur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howGridLines="0"/>
  </sheetViews>
  <sheetFormatPr defaultRowHeight="15" outlineLevelRow="0" outlineLevelCol="0" x14ac:dyDescent="55"/>
  <cols>
    <col min="1" max="1" width="30" style="6" customWidth="1"/>
    <col min="2" max="6" width="15" style="7" customWidth="1"/>
  </cols>
  <sheetData>
    <row r="1" spans="1:6" s="8" customFormat="1" x14ac:dyDescent="0.25">
      <c r="A1" s="9" t="s">
        <v>109</v>
      </c>
      <c r="B1" s="10"/>
      <c r="C1" s="10"/>
      <c r="D1" s="10"/>
      <c r="E1" s="10"/>
      <c r="F1" s="10"/>
    </row>
    <row r="2" spans="1:6" x14ac:dyDescent="0.25">
      <c r="A2" s="11" t="s">
        <v>10</v>
      </c>
      <c r="B2" s="12"/>
      <c r="C2" s="12"/>
      <c r="D2" s="12"/>
      <c r="E2" s="12"/>
      <c r="F2" s="12"/>
    </row>
    <row r="4" spans="1:6" x14ac:dyDescent="0.25">
      <c r="A4" s="21" t="s">
        <v>110</v>
      </c>
      <c r="B4" s="37">
        <v>2025</v>
      </c>
      <c r="C4" s="37">
        <v>2024</v>
      </c>
      <c r="D4" s="37">
        <v>2023</v>
      </c>
      <c r="E4" s="37">
        <v>2022</v>
      </c>
      <c r="F4" s="37">
        <v>2021</v>
      </c>
    </row>
    <row r="5" spans="1:6" x14ac:dyDescent="0.25">
      <c r="A5" s="11" t="s">
        <v>65</v>
      </c>
      <c r="B5" s="16">
        <v>996347</v>
      </c>
      <c r="C5" s="16">
        <v>941168</v>
      </c>
      <c r="D5" s="16">
        <v>868687</v>
      </c>
      <c r="E5" s="16">
        <v>853062</v>
      </c>
      <c r="F5" s="16">
        <v>717289</v>
      </c>
    </row>
    <row r="6" spans="1:6" x14ac:dyDescent="0.25">
      <c r="A6" s="11" t="s">
        <v>111</v>
      </c>
      <c r="B6" s="14">
        <v>0.0586</v>
      </c>
      <c r="C6" s="14">
        <v>0.0834</v>
      </c>
      <c r="D6" s="14">
        <v>0.0183</v>
      </c>
      <c r="E6" s="14">
        <v>0.1893</v>
      </c>
      <c r="F6" s="14">
        <v>0.4072</v>
      </c>
    </row>
    <row r="7" spans="1:6" x14ac:dyDescent="0.25">
      <c r="A7" s="11" t="s">
        <v>112</v>
      </c>
      <c r="B7" s="16">
        <v>143457.3</v>
      </c>
      <c r="C7" s="16">
        <v>85704.95</v>
      </c>
      <c r="D7" s="16">
        <v>88040.9</v>
      </c>
      <c r="E7" s="16">
        <v>117835.4</v>
      </c>
      <c r="F7" s="16">
        <v>212131.55</v>
      </c>
    </row>
    <row r="8" spans="1:6" x14ac:dyDescent="0.25">
      <c r="A8" s="11" t="s">
        <v>113</v>
      </c>
      <c r="B8" s="14">
        <v>0.1439832708885559</v>
      </c>
      <c r="C8" s="14">
        <v>0.09106232893596042</v>
      </c>
      <c r="D8" s="14">
        <v>0.1013493928192778</v>
      </c>
      <c r="E8" s="14">
        <v>0.1381322811237636</v>
      </c>
      <c r="F8" s="14">
        <v>0.2957406986584208</v>
      </c>
    </row>
    <row r="9" spans="1:6" x14ac:dyDescent="0.25">
      <c r="A9" s="11" t="s">
        <v>114</v>
      </c>
      <c r="B9" s="16">
        <v>26800.354</v>
      </c>
      <c r="C9" s="16">
        <v>-20962.687</v>
      </c>
      <c r="D9" s="16">
        <v>13250.406</v>
      </c>
      <c r="E9" s="16">
        <v>57734.508</v>
      </c>
      <c r="F9" s="16">
        <v>211554.597</v>
      </c>
    </row>
    <row r="10" spans="1:6" x14ac:dyDescent="0.25">
      <c r="A10" s="11" t="s">
        <v>115</v>
      </c>
      <c r="B10" s="16">
        <v>116656.946</v>
      </c>
      <c r="C10" s="16">
        <v>106667.637</v>
      </c>
      <c r="D10" s="16">
        <v>74790.494</v>
      </c>
      <c r="E10" s="16">
        <v>60100.892</v>
      </c>
      <c r="F10" s="16">
        <v>576.953</v>
      </c>
    </row>
    <row r="11" spans="1:6" x14ac:dyDescent="0.25">
      <c r="A11" s="11" t="s">
        <v>116</v>
      </c>
      <c r="B11" s="16">
        <v>867434.197</v>
      </c>
      <c r="C11" s="16">
        <v>676604.892</v>
      </c>
      <c r="D11" s="16">
        <v>718599.883</v>
      </c>
      <c r="E11" s="16">
        <v>729759.677</v>
      </c>
      <c r="F11" s="16">
        <v>636547.592</v>
      </c>
    </row>
    <row r="12" spans="1:6" x14ac:dyDescent="0.25">
      <c r="A12" s="11" t="s">
        <v>117</v>
      </c>
      <c r="B12" s="14">
        <v>0.1653811902921784</v>
      </c>
      <c r="C12" s="14">
        <v>0.1266691255315369</v>
      </c>
      <c r="D12" s="14">
        <v>0.1225172757229631</v>
      </c>
      <c r="E12" s="14">
        <v>0.1614715141351938</v>
      </c>
      <c r="F12" s="14">
        <v>0.3332532440088156</v>
      </c>
    </row>
    <row r="13" spans="1:6" x14ac:dyDescent="0.25">
      <c r="A13" s="11" t="s">
        <v>118</v>
      </c>
      <c r="B13" s="16">
        <v>1.148613927656809</v>
      </c>
      <c r="C13" s="16">
        <v>1.391015659402002</v>
      </c>
      <c r="D13" s="16">
        <v>1.208860480707871</v>
      </c>
      <c r="E13" s="16">
        <v>1.168962915992959</v>
      </c>
      <c r="F13" s="16">
        <v>1.126842688613925</v>
      </c>
    </row>
  </sheetData>
  <pageMargins left="0.7" right="0.7" top="0.75" bottom="0.75" header="0.3" footer="0.3"/>
  <pageSetup orientation="portrait" horizontalDpi="4294967295" verticalDpi="4294967295" scale="100" fitToWidth="1" fitToHeight="1"/>
  <pictur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howGridLines="0"/>
  </sheetViews>
  <sheetFormatPr defaultRowHeight="15" outlineLevelRow="0" outlineLevelCol="0" x14ac:dyDescent="55"/>
  <cols>
    <col min="1" max="1" width="9" style="6" customWidth="1"/>
    <col min="2" max="2" width="9" style="7" customWidth="1"/>
    <col min="3" max="3" width="9" style="38" customWidth="1"/>
    <col min="4" max="4" width="9" style="7" customWidth="1"/>
    <col min="5" max="5" width="9" style="38" customWidth="1"/>
    <col min="6" max="6" width="9" style="7" customWidth="1"/>
  </cols>
  <sheetData>
    <row r="1" spans="1:6" s="8" customFormat="1" x14ac:dyDescent="0.25">
      <c r="A1" s="9" t="s">
        <v>119</v>
      </c>
      <c r="B1" s="10"/>
      <c r="C1" s="39"/>
      <c r="D1" s="10"/>
      <c r="E1" s="39"/>
      <c r="F1" s="10"/>
    </row>
    <row r="2" spans="1:6" x14ac:dyDescent="0.25">
      <c r="A2" s="11" t="s">
        <v>38</v>
      </c>
      <c r="B2" s="12"/>
      <c r="C2" s="40"/>
      <c r="D2" s="12"/>
      <c r="E2" s="40"/>
      <c r="F2" s="12"/>
    </row>
    <row r="4" spans="1:6" x14ac:dyDescent="0.25">
      <c r="A4" s="18" t="s">
        <v>120</v>
      </c>
      <c r="B4" s="12"/>
      <c r="C4" s="40"/>
      <c r="D4" s="12"/>
      <c r="E4" s="40"/>
      <c r="F4" s="12"/>
    </row>
    <row r="5" spans="1:6" s="32" customFormat="1" x14ac:dyDescent="0.25">
      <c r="A5" s="21" t="s">
        <v>121</v>
      </c>
      <c r="B5" s="22" t="s">
        <v>122</v>
      </c>
      <c r="C5" s="41" t="s">
        <v>111</v>
      </c>
      <c r="D5" s="22" t="s">
        <v>123</v>
      </c>
      <c r="E5" s="41" t="s">
        <v>111</v>
      </c>
      <c r="F5" s="22" t="s">
        <v>124</v>
      </c>
    </row>
    <row r="6" spans="1:6" x14ac:dyDescent="0.25">
      <c r="A6" s="11" t="s">
        <v>125</v>
      </c>
      <c r="B6" s="16">
        <v>996347</v>
      </c>
      <c r="C6" s="40"/>
      <c r="D6" s="16">
        <v>0</v>
      </c>
      <c r="E6" s="40"/>
      <c r="F6" s="16">
        <v>0</v>
      </c>
    </row>
    <row r="7" spans="1:6" x14ac:dyDescent="0.25">
      <c r="A7" s="11" t="s">
        <v>126</v>
      </c>
      <c r="B7" s="16">
        <v>996347</v>
      </c>
      <c r="C7" s="40"/>
      <c r="D7" s="16">
        <v>0</v>
      </c>
      <c r="E7" s="40"/>
      <c r="F7" s="16">
        <v>0</v>
      </c>
    </row>
    <row r="9" spans="1:6" x14ac:dyDescent="0.25">
      <c r="A9" s="18" t="s">
        <v>127</v>
      </c>
      <c r="B9" s="12"/>
      <c r="C9" s="40"/>
      <c r="D9" s="12"/>
      <c r="E9" s="40"/>
      <c r="F9" s="12"/>
    </row>
    <row r="10" spans="1:6" s="32" customFormat="1" x14ac:dyDescent="0.25">
      <c r="A10" s="21" t="s">
        <v>121</v>
      </c>
      <c r="B10" s="22" t="s">
        <v>122</v>
      </c>
      <c r="C10" s="41" t="s">
        <v>111</v>
      </c>
      <c r="D10" s="22" t="s">
        <v>123</v>
      </c>
      <c r="E10" s="41" t="s">
        <v>111</v>
      </c>
      <c r="F10" s="22" t="s">
        <v>124</v>
      </c>
    </row>
    <row r="11" spans="1:6" x14ac:dyDescent="0.25">
      <c r="A11" s="11" t="s">
        <v>128</v>
      </c>
      <c r="B11" s="16">
        <v>84517</v>
      </c>
      <c r="C11" s="14">
        <v>0.10538981676454047</v>
      </c>
      <c r="D11" s="16">
        <v>76459</v>
      </c>
      <c r="E11" s="14">
        <v>-0.002465817764325227</v>
      </c>
      <c r="F11" s="16">
        <v>76648</v>
      </c>
    </row>
    <row r="12" spans="1:6" x14ac:dyDescent="0.25">
      <c r="A12" s="11" t="s">
        <v>129</v>
      </c>
      <c r="B12" s="16">
        <v>424877</v>
      </c>
      <c r="C12" s="14">
        <v>0.09909175804703405</v>
      </c>
      <c r="D12" s="16">
        <v>386571</v>
      </c>
      <c r="E12" s="14">
        <v>0.08849086567702115</v>
      </c>
      <c r="F12" s="16">
        <v>355144</v>
      </c>
    </row>
    <row r="13" spans="1:6" x14ac:dyDescent="0.25">
      <c r="A13" s="11" t="s">
        <v>130</v>
      </c>
      <c r="B13" s="16">
        <v>123379</v>
      </c>
      <c r="C13" s="14">
        <v>0.08157933954572949</v>
      </c>
      <c r="D13" s="16">
        <v>114073</v>
      </c>
      <c r="E13" s="14">
        <v>0.2786446073486224</v>
      </c>
      <c r="F13" s="16">
        <v>89214</v>
      </c>
    </row>
    <row r="14" spans="1:6" x14ac:dyDescent="0.25">
      <c r="A14" s="11" t="s">
        <v>131</v>
      </c>
      <c r="B14" s="16">
        <v>46613</v>
      </c>
      <c r="C14" s="14">
        <v>0.11099723519877967</v>
      </c>
      <c r="D14" s="16">
        <v>41956</v>
      </c>
      <c r="E14" s="14">
        <v>0.046858625679924146</v>
      </c>
      <c r="F14" s="16">
        <v>40078</v>
      </c>
    </row>
    <row r="15" spans="1:6" x14ac:dyDescent="0.25">
      <c r="A15" s="11" t="s">
        <v>132</v>
      </c>
      <c r="B15" s="16">
        <v>42685</v>
      </c>
      <c r="C15" s="14">
        <v>0.09910907405500051</v>
      </c>
      <c r="D15" s="16">
        <v>38836</v>
      </c>
      <c r="E15" s="14">
        <v>0.061469921010194876</v>
      </c>
      <c r="F15" s="16">
        <v>36587</v>
      </c>
    </row>
    <row r="16" spans="1:6" x14ac:dyDescent="0.25">
      <c r="A16" s="11" t="s">
        <v>133</v>
      </c>
      <c r="B16" s="16">
        <v>274276</v>
      </c>
      <c r="C16" s="14">
        <v>-0.031760880846391996</v>
      </c>
      <c r="D16" s="16">
        <v>283273</v>
      </c>
      <c r="E16" s="14">
        <v>0.045226112111462054</v>
      </c>
      <c r="F16" s="16">
        <v>271016</v>
      </c>
    </row>
    <row r="17" spans="1:6" x14ac:dyDescent="0.25">
      <c r="A17" s="11" t="s">
        <v>126</v>
      </c>
      <c r="B17" s="16">
        <v>996347</v>
      </c>
      <c r="C17" s="14">
        <v>0.05862821515393639</v>
      </c>
      <c r="D17" s="16">
        <v>941168</v>
      </c>
      <c r="E17" s="14">
        <v>0.08343741761992525</v>
      </c>
      <c r="F17" s="16">
        <v>868687</v>
      </c>
    </row>
  </sheetData>
  <pageMargins left="0.7" right="0.7" top="0.75" bottom="0.75" header="0.3" footer="0.3"/>
  <pageSetup orientation="portrait" horizontalDpi="4294967295" verticalDpi="4294967295" scale="100" fitToWidth="1" fitToHeight="1"/>
  <pictur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howGridLines="0"/>
  </sheetViews>
  <sheetFormatPr defaultRowHeight="15" outlineLevelRow="0" outlineLevelCol="0" x14ac:dyDescent="55"/>
  <cols>
    <col min="1" max="1" width="28" style="6" customWidth="1"/>
    <col min="2" max="2" width="18" style="7" customWidth="1"/>
    <col min="3" max="3" width="26" style="7" customWidth="1"/>
    <col min="4" max="6" width="18" style="7" customWidth="1"/>
  </cols>
  <sheetData>
    <row r="1" spans="1:6" s="8" customFormat="1" x14ac:dyDescent="0.25">
      <c r="A1" s="9" t="s">
        <v>134</v>
      </c>
      <c r="B1" s="10"/>
      <c r="C1" s="10"/>
      <c r="D1" s="10"/>
      <c r="E1" s="10"/>
      <c r="F1" s="10"/>
    </row>
    <row r="2" spans="1:6" x14ac:dyDescent="0.25">
      <c r="A2" s="11" t="s">
        <v>10</v>
      </c>
      <c r="B2" s="12"/>
      <c r="C2" s="12"/>
      <c r="D2" s="12"/>
      <c r="E2" s="12"/>
      <c r="F2" s="12"/>
    </row>
    <row r="4" spans="1:6" s="32" customFormat="1" x14ac:dyDescent="0.25">
      <c r="A4" s="42" t="s">
        <v>135</v>
      </c>
      <c r="B4" s="36" t="s">
        <v>136</v>
      </c>
      <c r="C4" s="36" t="s">
        <v>137</v>
      </c>
      <c r="D4" s="36"/>
      <c r="E4" s="36"/>
      <c r="F4" s="36"/>
    </row>
    <row r="5" spans="1:6" x14ac:dyDescent="0.25">
      <c r="A5" s="11" t="s">
        <v>138</v>
      </c>
      <c r="B5" s="12" t="s">
        <v>139</v>
      </c>
      <c r="C5" s="12" t="s">
        <v>140</v>
      </c>
      <c r="D5" s="12"/>
      <c r="E5" s="12"/>
      <c r="F5" s="12"/>
    </row>
    <row r="6" spans="1:6" x14ac:dyDescent="0.25">
      <c r="A6" s="11" t="s">
        <v>141</v>
      </c>
      <c r="B6" s="12" t="s">
        <v>142</v>
      </c>
      <c r="C6" s="12" t="s">
        <v>143</v>
      </c>
      <c r="D6" s="12"/>
      <c r="E6" s="12"/>
      <c r="F6" s="12"/>
    </row>
    <row r="7" spans="1:6" x14ac:dyDescent="0.25">
      <c r="A7" s="11" t="s">
        <v>144</v>
      </c>
      <c r="B7" s="12" t="s">
        <v>145</v>
      </c>
      <c r="C7" s="12" t="s">
        <v>146</v>
      </c>
      <c r="D7" s="12"/>
      <c r="E7" s="12"/>
      <c r="F7" s="12"/>
    </row>
    <row r="9" spans="1:6" s="43" customFormat="1" x14ac:dyDescent="0.25">
      <c r="A9" s="44" t="s">
        <v>147</v>
      </c>
      <c r="B9" s="44"/>
      <c r="C9" s="44"/>
      <c r="D9" s="44"/>
      <c r="E9" s="44"/>
      <c r="F9" s="44"/>
    </row>
    <row r="10" spans="1:6" s="32" customFormat="1" x14ac:dyDescent="0.25">
      <c r="A10" s="42" t="s">
        <v>148</v>
      </c>
      <c r="B10" s="36" t="s">
        <v>149</v>
      </c>
      <c r="C10" s="36" t="s">
        <v>150</v>
      </c>
      <c r="D10" s="36" t="s">
        <v>151</v>
      </c>
      <c r="E10" s="36" t="s">
        <v>152</v>
      </c>
      <c r="F10" s="36" t="s">
        <v>153</v>
      </c>
    </row>
    <row r="11" spans="1:6" x14ac:dyDescent="0.25">
      <c r="A11" s="11" t="s">
        <v>138</v>
      </c>
      <c r="B11" s="45">
        <v>408.9897013352247</v>
      </c>
      <c r="C11" s="45">
        <v>788.2042305908916</v>
      </c>
      <c r="D11" s="45">
        <v>1422.849348609865</v>
      </c>
      <c r="E11" s="45">
        <v>2745.932536225886</v>
      </c>
      <c r="F11" s="45">
        <v>5710.302265601083</v>
      </c>
    </row>
    <row r="12" spans="1:6" x14ac:dyDescent="0.25">
      <c r="A12" s="11" t="s">
        <v>141</v>
      </c>
      <c r="B12" s="45">
        <v>645.6425133590145</v>
      </c>
      <c r="C12" s="45">
        <v>974.3469698373492</v>
      </c>
      <c r="D12" s="45">
        <v>1455.488783037983</v>
      </c>
      <c r="E12" s="45">
        <v>2837.774723573837</v>
      </c>
      <c r="F12" s="45">
        <v>7691.031005148493</v>
      </c>
    </row>
    <row r="13" spans="1:6" x14ac:dyDescent="0.25">
      <c r="A13" s="11" t="s">
        <v>144</v>
      </c>
      <c r="B13" s="45">
        <v>513.5537117004142</v>
      </c>
      <c r="C13" s="45">
        <v>866.4839520597562</v>
      </c>
      <c r="D13" s="45">
        <v>1439.252138639751</v>
      </c>
      <c r="E13" s="45">
        <v>3173.716302389828</v>
      </c>
      <c r="F13" s="45">
        <v>6741.509984979514</v>
      </c>
    </row>
  </sheetData>
  <mergeCells count="1">
    <mergeCell ref="A9:F9"/>
  </mergeCells>
  <pageMargins left="0.7" right="0.7" top="0.75" bottom="0.75" header="0.3" footer="0.3"/>
  <pageSetup orientation="portrait" horizontalDpi="4294967295" verticalDpi="4294967295" scale="100" fitToWidth="1" fitToHeight="1"/>
  <pictur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workbookViewId="0" showGridLines="0"/>
  </sheetViews>
  <sheetFormatPr defaultRowHeight="15" outlineLevelRow="0" outlineLevelCol="0" x14ac:dyDescent="55"/>
  <cols>
    <col min="1" max="1" width="30" style="6" customWidth="1"/>
    <col min="2" max="5" width="20" style="7" customWidth="1"/>
  </cols>
  <sheetData>
    <row r="1" spans="1:5" s="8" customFormat="1" x14ac:dyDescent="0.25">
      <c r="A1" s="9" t="s">
        <v>154</v>
      </c>
      <c r="B1" s="10"/>
      <c r="C1" s="10"/>
      <c r="D1" s="10"/>
      <c r="E1" s="10"/>
    </row>
    <row r="2" spans="1:5" x14ac:dyDescent="0.25">
      <c r="A2" s="11" t="s">
        <v>10</v>
      </c>
      <c r="B2" s="12"/>
      <c r="C2" s="12"/>
      <c r="D2" s="12"/>
      <c r="E2" s="12"/>
    </row>
    <row r="4" spans="1:5" s="17" customFormat="1" x14ac:dyDescent="0.25">
      <c r="A4" s="18" t="s">
        <v>155</v>
      </c>
      <c r="B4" s="31"/>
      <c r="C4" s="31"/>
      <c r="D4" s="31"/>
      <c r="E4" s="31"/>
    </row>
    <row r="5" spans="1:5" x14ac:dyDescent="0.25">
      <c r="A5" s="11" t="s">
        <v>156</v>
      </c>
      <c r="B5" s="19">
        <v>0.0186</v>
      </c>
      <c r="C5" s="12"/>
      <c r="D5" s="12"/>
      <c r="E5" s="12"/>
    </row>
    <row r="6" spans="1:5" x14ac:dyDescent="0.25">
      <c r="A6" s="11" t="s">
        <v>157</v>
      </c>
      <c r="B6" s="12" t="s">
        <v>125</v>
      </c>
      <c r="C6" s="12"/>
      <c r="D6" s="12"/>
      <c r="E6" s="12"/>
    </row>
    <row r="7" spans="1:5" x14ac:dyDescent="0.25">
      <c r="A7" s="11" t="s">
        <v>158</v>
      </c>
      <c r="B7" s="19">
        <v>0.0071</v>
      </c>
      <c r="C7" s="12"/>
      <c r="D7" s="12"/>
      <c r="E7" s="12"/>
    </row>
    <row r="8" spans="1:5" x14ac:dyDescent="0.25">
      <c r="A8" s="11" t="s">
        <v>159</v>
      </c>
      <c r="B8" s="25">
        <f>=INDEX(B:B,MATCH("Ten-year bond yield",A:A,0))-INDEX(B:B,MATCH("Default spread",A:A,0))</f>
      </c>
      <c r="C8" s="12"/>
      <c r="D8" s="12"/>
      <c r="E8" s="12"/>
    </row>
    <row r="10" spans="1:5" s="17" customFormat="1" x14ac:dyDescent="0.25">
      <c r="A10" s="18" t="s">
        <v>160</v>
      </c>
      <c r="B10" s="31"/>
      <c r="C10" s="31"/>
      <c r="D10" s="31"/>
      <c r="E10" s="31"/>
    </row>
    <row r="11" spans="1:5" s="32" customFormat="1" x14ac:dyDescent="0.25">
      <c r="A11" s="21" t="s">
        <v>121</v>
      </c>
      <c r="B11" s="22" t="s">
        <v>161</v>
      </c>
      <c r="C11" s="22" t="s">
        <v>162</v>
      </c>
      <c r="D11" s="22" t="s">
        <v>163</v>
      </c>
      <c r="E11" s="22" t="s">
        <v>164</v>
      </c>
    </row>
    <row r="12" spans="1:5" x14ac:dyDescent="0.25">
      <c r="A12" s="11" t="s">
        <v>133</v>
      </c>
      <c r="B12" s="20">
        <v>274276</v>
      </c>
      <c r="C12" s="20">
        <v>1.23</v>
      </c>
      <c r="D12" s="25">
        <f>(B12*C12)/SUMPRODUCT(B12:B17,C12:C17)</f>
      </c>
      <c r="E12" s="20">
        <v>1.15</v>
      </c>
    </row>
    <row r="13" spans="1:5" x14ac:dyDescent="0.25">
      <c r="A13" s="11" t="s">
        <v>132</v>
      </c>
      <c r="B13" s="20">
        <v>42685</v>
      </c>
      <c r="C13" s="20">
        <v>3.46</v>
      </c>
      <c r="D13" s="25">
        <f>(B13*C13)/SUMPRODUCT(B12:B17,C12:C17)</f>
      </c>
      <c r="E13" s="20">
        <v>1.35</v>
      </c>
    </row>
    <row r="14" spans="1:5" x14ac:dyDescent="0.25">
      <c r="A14" s="11" t="s">
        <v>165</v>
      </c>
      <c r="B14" s="20">
        <v>46613</v>
      </c>
      <c r="C14" s="20">
        <v>2.67</v>
      </c>
      <c r="D14" s="25">
        <f>(B14*C14)/SUMPRODUCT(B12:B17,C12:C17)</f>
      </c>
      <c r="E14" s="20">
        <v>0.61</v>
      </c>
    </row>
    <row r="15" spans="1:5" x14ac:dyDescent="0.25">
      <c r="A15" s="11" t="s">
        <v>130</v>
      </c>
      <c r="B15" s="20">
        <v>123379</v>
      </c>
      <c r="C15" s="20">
        <v>1.01</v>
      </c>
      <c r="D15" s="25">
        <f>(B15*C15)/SUMPRODUCT(B12:B17,C12:C17)</f>
      </c>
      <c r="E15" s="20">
        <v>0.79</v>
      </c>
    </row>
    <row r="16" spans="1:5" x14ac:dyDescent="0.25">
      <c r="A16" s="11" t="s">
        <v>129</v>
      </c>
      <c r="B16" s="20">
        <v>424877</v>
      </c>
      <c r="C16" s="20">
        <v>5.89</v>
      </c>
      <c r="D16" s="25">
        <f>(B16*C16)/SUMPRODUCT(B12:B17,C12:C17)</f>
      </c>
      <c r="E16" s="20">
        <v>1.48</v>
      </c>
    </row>
    <row r="17" spans="1:5" x14ac:dyDescent="0.25">
      <c r="A17" s="11" t="s">
        <v>128</v>
      </c>
      <c r="B17" s="20">
        <v>84517</v>
      </c>
      <c r="C17" s="20">
        <v>4.69</v>
      </c>
      <c r="D17" s="25">
        <f>(B17*C17)/SUMPRODUCT(B12:B17,C12:C17)</f>
      </c>
      <c r="E17" s="20">
        <v>1.84</v>
      </c>
    </row>
    <row r="19" spans="1:5" x14ac:dyDescent="0.25">
      <c r="A19" s="11" t="s">
        <v>164</v>
      </c>
      <c r="B19" s="46">
        <f>=SUMPRODUCT(INDEX(D:D,MATCH("Segment",A:A,0)+1):INDEX(D:D,MATCH(TRUE,INDEX((INDEX(A:A,MATCH("Segment",A:A,0)+1):A1048576)="",0),0)+MATCH("Segment",A:A,0)+1-1),INDEX(E:E,MATCH("Segment",A:A,0)+1):INDEX(E:E,MATCH(TRUE,INDEX((INDEX(A:A,MATCH("Segment",A:A,0)+1):A1048576)="",0),0)+MATCH("Segment",A:A,0)+1-1))</f>
      </c>
      <c r="C19" s="12"/>
      <c r="D19" s="12"/>
      <c r="E19" s="12"/>
    </row>
    <row r="20" spans="1:5" x14ac:dyDescent="0.25">
      <c r="A20" s="11" t="s">
        <v>166</v>
      </c>
      <c r="B20" s="19">
        <v>0.1162549172841621</v>
      </c>
      <c r="C20" s="12"/>
      <c r="D20" s="12"/>
      <c r="E20" s="12"/>
    </row>
    <row r="21" spans="1:5" x14ac:dyDescent="0.25">
      <c r="A21" s="11" t="s">
        <v>167</v>
      </c>
      <c r="B21" s="19">
        <v>0.25</v>
      </c>
      <c r="C21" s="12"/>
      <c r="D21" s="12"/>
      <c r="E21" s="12"/>
    </row>
    <row r="22" spans="1:5" x14ac:dyDescent="0.25">
      <c r="A22" s="11" t="s">
        <v>168</v>
      </c>
      <c r="B22" s="46">
        <f>=B19*(1+(1-B21)*B20)</f>
      </c>
      <c r="C22" s="12"/>
      <c r="D22" s="12"/>
      <c r="E22" s="12"/>
    </row>
    <row r="24" spans="1:5" s="17" customFormat="1" x14ac:dyDescent="0.25">
      <c r="A24" s="18" t="s">
        <v>169</v>
      </c>
      <c r="B24" s="31"/>
      <c r="C24" s="31"/>
      <c r="D24" s="31"/>
      <c r="E24" s="31"/>
    </row>
    <row r="25" spans="1:5" x14ac:dyDescent="0.25">
      <c r="A25" s="11" t="s">
        <v>170</v>
      </c>
      <c r="B25" s="47">
        <v>248489.776</v>
      </c>
      <c r="C25" s="12"/>
      <c r="D25" s="12"/>
      <c r="E25" s="12"/>
    </row>
    <row r="26" spans="1:5" x14ac:dyDescent="0.25">
      <c r="A26" s="11" t="s">
        <v>159</v>
      </c>
      <c r="B26" s="19">
        <v>0.0115</v>
      </c>
      <c r="C26" s="12"/>
      <c r="D26" s="12"/>
      <c r="E26" s="12"/>
    </row>
    <row r="27" spans="1:5" x14ac:dyDescent="0.25">
      <c r="A27" s="11" t="s">
        <v>171</v>
      </c>
      <c r="B27" s="19">
        <v>0.0071</v>
      </c>
      <c r="C27" s="12"/>
      <c r="D27" s="12"/>
      <c r="E27" s="12"/>
    </row>
    <row r="28" spans="1:5" x14ac:dyDescent="0.25">
      <c r="A28" s="11" t="s">
        <v>172</v>
      </c>
      <c r="B28" s="12" t="s">
        <v>125</v>
      </c>
      <c r="C28" s="12"/>
      <c r="D28" s="12"/>
      <c r="E28" s="12"/>
    </row>
    <row r="29" spans="1:5" x14ac:dyDescent="0.25">
      <c r="A29" s="11" t="s">
        <v>173</v>
      </c>
      <c r="B29" s="12" t="s">
        <v>63</v>
      </c>
      <c r="C29" s="12"/>
      <c r="D29" s="12"/>
      <c r="E29" s="12"/>
    </row>
    <row r="30" spans="1:5" x14ac:dyDescent="0.25">
      <c r="A30" s="11" t="s">
        <v>174</v>
      </c>
      <c r="B30" s="19">
        <v>0.0038</v>
      </c>
      <c r="C30" s="12"/>
      <c r="D30" s="12"/>
      <c r="E30" s="12"/>
    </row>
    <row r="31" spans="1:5" x14ac:dyDescent="0.25">
      <c r="A31" s="11" t="s">
        <v>175</v>
      </c>
      <c r="B31" s="47">
        <v>9596</v>
      </c>
      <c r="C31" s="12"/>
      <c r="D31" s="12"/>
      <c r="E31" s="12"/>
    </row>
    <row r="32" spans="1:5" x14ac:dyDescent="0.25">
      <c r="A32" s="11" t="s">
        <v>176</v>
      </c>
      <c r="B32" s="12" t="s">
        <v>177</v>
      </c>
      <c r="C32" s="12"/>
      <c r="D32" s="12"/>
      <c r="E32" s="12"/>
    </row>
    <row r="33" spans="1:5" x14ac:dyDescent="0.25">
      <c r="A33" s="11" t="s">
        <v>178</v>
      </c>
      <c r="B33" s="12" t="s">
        <v>179</v>
      </c>
      <c r="C33" s="12"/>
      <c r="D33" s="12"/>
      <c r="E33" s="12"/>
    </row>
    <row r="34" spans="1:5" x14ac:dyDescent="0.25">
      <c r="A34" s="11" t="s">
        <v>180</v>
      </c>
      <c r="B34" s="19">
        <v>0.0224</v>
      </c>
      <c r="C34" s="12"/>
      <c r="D34" s="12"/>
      <c r="E34" s="12"/>
    </row>
    <row r="35" spans="1:5" x14ac:dyDescent="0.25">
      <c r="A35" s="11" t="s">
        <v>181</v>
      </c>
      <c r="B35" s="47">
        <v>5</v>
      </c>
      <c r="C35" s="12"/>
      <c r="D35" s="12"/>
      <c r="E35" s="12"/>
    </row>
    <row r="36" spans="1:5" x14ac:dyDescent="0.25">
      <c r="A36" s="11" t="s">
        <v>182</v>
      </c>
      <c r="B36" s="47">
        <v>267352.62150123913</v>
      </c>
      <c r="C36" s="12"/>
      <c r="D36" s="12"/>
      <c r="E36" s="12"/>
    </row>
    <row r="37" spans="1:5" x14ac:dyDescent="0.25">
      <c r="A37" s="11" t="s">
        <v>166</v>
      </c>
      <c r="B37" s="25">
        <f>=B20</f>
      </c>
      <c r="C37" s="12"/>
      <c r="D37" s="12"/>
      <c r="E37" s="12"/>
    </row>
    <row r="39" spans="1:5" s="17" customFormat="1" x14ac:dyDescent="0.25">
      <c r="A39" s="18" t="s">
        <v>183</v>
      </c>
      <c r="B39" s="31"/>
      <c r="C39" s="31"/>
      <c r="D39" s="31"/>
      <c r="E39" s="31"/>
    </row>
    <row r="40" spans="1:5" x14ac:dyDescent="0.25">
      <c r="A40" s="11" t="s">
        <v>184</v>
      </c>
      <c r="B40" s="12" t="s">
        <v>185</v>
      </c>
      <c r="C40" s="12"/>
      <c r="D40" s="12"/>
      <c r="E40" s="12"/>
    </row>
    <row r="41" spans="1:5" x14ac:dyDescent="0.25">
      <c r="A41" s="11" t="s">
        <v>186</v>
      </c>
      <c r="B41" s="12" t="s">
        <v>187</v>
      </c>
      <c r="C41" s="12"/>
      <c r="D41" s="12"/>
      <c r="E41" s="12"/>
    </row>
    <row r="42" spans="1:5" x14ac:dyDescent="0.25">
      <c r="A42" s="11" t="s">
        <v>188</v>
      </c>
      <c r="B42" s="12" t="s">
        <v>189</v>
      </c>
      <c r="C42" s="12"/>
      <c r="D42" s="12"/>
      <c r="E42" s="12"/>
    </row>
    <row r="43" spans="1:5" x14ac:dyDescent="0.25">
      <c r="A43" s="11" t="s">
        <v>190</v>
      </c>
      <c r="B43" s="12" t="s">
        <v>191</v>
      </c>
      <c r="C43" s="12"/>
      <c r="D43" s="12"/>
      <c r="E43" s="12"/>
    </row>
    <row r="44" spans="1:5" x14ac:dyDescent="0.25">
      <c r="A44" s="11" t="s">
        <v>192</v>
      </c>
      <c r="B44" s="12" t="s">
        <v>193</v>
      </c>
      <c r="C44" s="12"/>
      <c r="D44" s="12"/>
      <c r="E44" s="12"/>
    </row>
    <row r="45" spans="1:5" x14ac:dyDescent="0.25">
      <c r="A45" s="11" t="s">
        <v>194</v>
      </c>
      <c r="B45" s="12" t="s">
        <v>195</v>
      </c>
      <c r="C45" s="12"/>
      <c r="D45" s="12"/>
      <c r="E45" s="12"/>
    </row>
    <row r="47" spans="1:5" s="17" customFormat="1" x14ac:dyDescent="0.25">
      <c r="A47" s="18" t="s">
        <v>196</v>
      </c>
      <c r="B47" s="31"/>
      <c r="C47" s="31"/>
      <c r="D47" s="31"/>
      <c r="E47" s="31"/>
    </row>
    <row r="48" spans="1:5" s="32" customFormat="1" x14ac:dyDescent="0.25">
      <c r="A48" s="21" t="s">
        <v>197</v>
      </c>
      <c r="B48" s="22" t="s">
        <v>161</v>
      </c>
      <c r="C48" s="22" t="s">
        <v>163</v>
      </c>
      <c r="D48" s="22" t="s">
        <v>198</v>
      </c>
      <c r="E48" s="22" t="s">
        <v>199</v>
      </c>
    </row>
    <row r="49" spans="1:5" x14ac:dyDescent="0.25">
      <c r="A49" s="11" t="s">
        <v>125</v>
      </c>
      <c r="B49" s="20">
        <v>996347</v>
      </c>
      <c r="C49" s="25">
        <f>B49/SUM(B49:B49)</f>
      </c>
      <c r="D49" s="19">
        <v>0.0501</v>
      </c>
      <c r="E49" s="19">
        <v>0.25</v>
      </c>
    </row>
    <row r="51" spans="1:5" x14ac:dyDescent="0.25">
      <c r="A51" s="11" t="s">
        <v>200</v>
      </c>
      <c r="B51" s="25">
        <f>=SUMPRODUCT(INDEX(C:C,MATCH("Country",A:A,0)+1):INDEX(C:C,MATCH(TRUE,INDEX((INDEX(A:A,MATCH("Country",A:A,0)+1):A1048576)="",0),0)+MATCH("Country",A:A,0)+1-1),INDEX(D:D,MATCH("Country",A:A,0)+1):INDEX(D:D,MATCH(TRUE,INDEX((INDEX(A:A,MATCH("Country",A:A,0)+1):A1048576)="",0),0)+MATCH("Country",A:A,0)+1-1))</f>
      </c>
      <c r="C51" s="12"/>
      <c r="D51" s="12"/>
      <c r="E51" s="12"/>
    </row>
    <row r="53" spans="1:5" s="17" customFormat="1" x14ac:dyDescent="0.25">
      <c r="A53" s="18" t="s">
        <v>201</v>
      </c>
      <c r="B53" s="31"/>
      <c r="C53" s="31"/>
      <c r="D53" s="31"/>
      <c r="E53" s="31"/>
    </row>
    <row r="54" spans="1:5" x14ac:dyDescent="0.25">
      <c r="A54" s="11" t="s">
        <v>159</v>
      </c>
      <c r="B54" s="25">
        <f>=INDEX(B:B,MATCH("Risk-free rate",A:A,0))</f>
      </c>
      <c r="C54" s="12"/>
      <c r="D54" s="12"/>
      <c r="E54" s="12"/>
    </row>
    <row r="55" spans="1:5" x14ac:dyDescent="0.25">
      <c r="A55" s="11" t="s">
        <v>202</v>
      </c>
      <c r="B55" s="25">
        <f>=INDEX(B:B,MATCH("Equity beta",A:A,0))*INDEX(B:B,MATCH("Equity risk premium",A:A,0))</f>
      </c>
      <c r="C55" s="12"/>
      <c r="D55" s="12"/>
      <c r="E55" s="12"/>
    </row>
    <row r="56" spans="1:5" x14ac:dyDescent="0.25">
      <c r="A56" s="11" t="s">
        <v>168</v>
      </c>
      <c r="B56" s="46">
        <f>=INDEX(B:B,MATCH("Equity beta",A:A,0))</f>
      </c>
      <c r="C56" s="12"/>
      <c r="D56" s="12"/>
      <c r="E56" s="12"/>
    </row>
    <row r="57" spans="1:5" x14ac:dyDescent="0.25">
      <c r="A57" s="11" t="s">
        <v>203</v>
      </c>
      <c r="B57" s="25">
        <f>=INDEX(B:B,MATCH("Company equity risk premium",A:A,0))</f>
      </c>
      <c r="C57" s="12"/>
      <c r="D57" s="12"/>
      <c r="E57" s="12"/>
    </row>
    <row r="58" spans="1:5" x14ac:dyDescent="0.25">
      <c r="A58" s="11" t="s">
        <v>154</v>
      </c>
      <c r="B58" s="25">
        <f>=INDEX(B:B,MATCH("Risk-free rate",A:A,0))+INDEX(B:B,MATCH("Equity beta",A:A,0))*INDEX(B:B,MATCH("Equity risk premium",A:A,0))</f>
      </c>
      <c r="C58" s="12"/>
      <c r="D58" s="12"/>
      <c r="E58" s="12"/>
    </row>
    <row r="60" spans="1:5" s="17" customFormat="1" x14ac:dyDescent="0.25">
      <c r="A60" s="18" t="s">
        <v>204</v>
      </c>
      <c r="B60" s="31"/>
      <c r="C60" s="31"/>
      <c r="D60" s="31"/>
      <c r="E60" s="31"/>
    </row>
    <row r="61" spans="1:5" x14ac:dyDescent="0.25">
      <c r="A61" s="11" t="s">
        <v>159</v>
      </c>
      <c r="B61" s="25">
        <f>=INDEX(B:B,MATCH("Risk-free rate",A:A,0))</f>
      </c>
      <c r="C61" s="12"/>
      <c r="D61" s="12"/>
      <c r="E61" s="12"/>
    </row>
    <row r="62" spans="1:5" x14ac:dyDescent="0.25">
      <c r="A62" s="11" t="s">
        <v>205</v>
      </c>
      <c r="B62" s="25">
        <f>=INDEX(B:B,MATCH("Stable beta (clamped)",A:A,0))*INDEX(B:B,MATCH("Equity risk premium",A:A,0))</f>
      </c>
      <c r="C62" s="12"/>
      <c r="D62" s="12"/>
      <c r="E62" s="12"/>
    </row>
    <row r="63" spans="1:5" x14ac:dyDescent="0.25">
      <c r="A63" s="11" t="s">
        <v>206</v>
      </c>
      <c r="B63" s="46">
        <f>=MIN(MAX(INDEX(B:B,MATCH("Equity beta",A:A,0)),0.8),1.2)</f>
      </c>
      <c r="C63" s="12"/>
      <c r="D63" s="12"/>
      <c r="E63" s="12"/>
    </row>
    <row r="64" spans="1:5" x14ac:dyDescent="0.25">
      <c r="A64" s="11" t="s">
        <v>203</v>
      </c>
      <c r="B64" s="25">
        <f>=INDEX(B:B,MATCH("Company equity risk premium",A:A,0))</f>
      </c>
      <c r="C64" s="12"/>
      <c r="D64" s="12"/>
      <c r="E64" s="12"/>
    </row>
    <row r="65" spans="1:5" x14ac:dyDescent="0.25">
      <c r="A65" s="11" t="s">
        <v>207</v>
      </c>
      <c r="B65" s="25">
        <f>=INDEX(B:B,MATCH("Risk-free rate",A:A,0))+INDEX(B:B,MATCH("Stable beta (clamped)",A:A,0))*INDEX(B:B,MATCH("Equity risk premium",A:A,0))</f>
      </c>
      <c r="C65" s="12"/>
      <c r="D65" s="12"/>
      <c r="E65" s="12"/>
    </row>
  </sheetData>
  <pageMargins left="0.7" right="0.7" top="0.75" bottom="0.75" header="0.3" footer="0.3"/>
  <pageSetup orientation="portrait" horizontalDpi="4294967295" verticalDpi="4294967295" scale="100" fitToWidth="1" fitToHeight="1"/>
  <pictur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vt:lpstr>
      <vt:lpstr>Summary</vt:lpstr>
      <vt:lpstr>Assumptions</vt:lpstr>
      <vt:lpstr>DCF model</vt:lpstr>
      <vt:lpstr>Other assets and claims</vt:lpstr>
      <vt:lpstr>Financials</vt:lpstr>
      <vt:lpstr>Segments</vt:lpstr>
      <vt:lpstr>Multiples</vt:lpstr>
      <vt:lpstr>Cost of equity</vt:lpstr>
      <vt:lpstr>Scenarios</vt:lpstr>
      <vt:lpstr>Sensitivity</vt:lpstr>
      <vt:lpstr>Reverse DCF</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dc:title/>
  <dc:subject/>
  <dc:description/>
  <cp:keywords/>
  <cp:category/>
  <cp:lastModifiedBy>Unknown</cp:lastModifiedBy>
  <dcterms:created xsi:type="dcterms:W3CDTF">2026-03-03T01:03:20Z</dcterms:created>
  <dcterms:modified xsi:type="dcterms:W3CDTF">2026-03-03T01:03:20Z</dcterms:modified>
</cp:coreProperties>
</file>